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200" windowHeight="15140" activeTab="0"/>
  </bookViews>
  <sheets>
    <sheet name="Brain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n-tokumitsu</author>
  </authors>
  <commentList>
    <comment ref="A4" authorId="0">
      <text>
        <r>
          <rPr>
            <sz val="9"/>
            <rFont val="HG丸ｺﾞｼｯｸM-PRO"/>
            <family val="3"/>
          </rPr>
          <t>間取を入力</t>
        </r>
        <r>
          <rPr>
            <sz val="9"/>
            <rFont val="ＭＳ Ｐゴシック"/>
            <family val="3"/>
          </rPr>
          <t xml:space="preserve">
</t>
        </r>
      </text>
    </comment>
    <comment ref="A5" authorId="0">
      <text>
        <r>
          <rPr>
            <sz val="9"/>
            <rFont val="HG丸ｺﾞｼｯｸM-PRO"/>
            <family val="3"/>
          </rPr>
          <t>間取を入力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数値で入力
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円単位まで入力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1室あたりの家賃、共益費を入力(駐車場２まで）
</t>
        </r>
      </text>
    </comment>
    <comment ref="F30" authorId="0">
      <text>
        <r>
          <rPr>
            <sz val="9"/>
            <rFont val="ＭＳ Ｐゴシック"/>
            <family val="3"/>
          </rPr>
          <t xml:space="preserve">・管理代行
・サブリース
建物管理費まで想定した％を入力する
</t>
        </r>
      </text>
    </comment>
  </commentList>
</comments>
</file>

<file path=xl/sharedStrings.xml><?xml version="1.0" encoding="utf-8"?>
<sst xmlns="http://schemas.openxmlformats.org/spreadsheetml/2006/main" count="122" uniqueCount="107">
  <si>
    <t>投資効率</t>
  </si>
  <si>
    <t>備  考</t>
  </si>
  <si>
    <t>※</t>
  </si>
  <si>
    <t>オプション１</t>
  </si>
  <si>
    <t>Ａ</t>
  </si>
  <si>
    <t>返済年数</t>
  </si>
  <si>
    <t>①建築費試算　</t>
  </si>
  <si>
    <t>②家賃収入試算</t>
  </si>
  <si>
    <t>③借入金試算</t>
  </si>
  <si>
    <t>④火災保険料試算</t>
  </si>
  <si>
    <t>⑤固定資産税等税率</t>
  </si>
  <si>
    <t>⑥維持費試算</t>
  </si>
  <si>
    <t>⑦評価額査定資産（土地）</t>
  </si>
  <si>
    <t>⑧評価額査定資産（建物）</t>
  </si>
  <si>
    <t>⑨創業時のその他費用</t>
  </si>
  <si>
    <t>⑩入居稼働率</t>
  </si>
  <si>
    <t>⑪初期投資金額</t>
  </si>
  <si>
    <t>⑫２７年事業必要費用</t>
  </si>
  <si>
    <t>⑬２７年償却ベース</t>
  </si>
  <si>
    <t>借入に含む</t>
  </si>
  <si>
    <t>仲介手数料</t>
  </si>
  <si>
    <t>登記費用</t>
  </si>
  <si>
    <r>
      <t>1</t>
    </r>
    <r>
      <rPr>
        <sz val="11"/>
        <rFont val="ＭＳ Ｐゴシック"/>
        <family val="0"/>
      </rPr>
      <t>DK</t>
    </r>
  </si>
  <si>
    <r>
      <t>3</t>
    </r>
    <r>
      <rPr>
        <sz val="11"/>
        <rFont val="ＭＳ Ｐゴシック"/>
        <family val="0"/>
      </rPr>
      <t>DK</t>
    </r>
  </si>
  <si>
    <t>事務所</t>
  </si>
  <si>
    <t>戸</t>
  </si>
  <si>
    <t>事務所</t>
  </si>
  <si>
    <t>千葉県松戸市仲井町3丁目7番地　047-360-9596　ブレーン・ワン</t>
  </si>
  <si>
    <t>年数</t>
  </si>
  <si>
    <t>稼働%</t>
  </si>
  <si>
    <t>家賃収入</t>
  </si>
  <si>
    <t xml:space="preserve">返済額(均等) </t>
  </si>
  <si>
    <t>税金等計</t>
  </si>
  <si>
    <t>管理費計</t>
  </si>
  <si>
    <t>改修費</t>
  </si>
  <si>
    <t>差引累計収入</t>
  </si>
  <si>
    <t>差引年収</t>
  </si>
  <si>
    <t>単位円</t>
  </si>
  <si>
    <t>形式</t>
  </si>
  <si>
    <t>数料</t>
  </si>
  <si>
    <t>建設単価/戸</t>
  </si>
  <si>
    <t>建設費(消費税含)</t>
  </si>
  <si>
    <t>戸</t>
  </si>
  <si>
    <t>Ａ</t>
  </si>
  <si>
    <t>B</t>
  </si>
  <si>
    <t>式</t>
  </si>
  <si>
    <t>オプション</t>
  </si>
  <si>
    <t>オプション２</t>
  </si>
  <si>
    <t>その他費用</t>
  </si>
  <si>
    <t>予備費</t>
  </si>
  <si>
    <t>税込み</t>
  </si>
  <si>
    <t>数料</t>
  </si>
  <si>
    <t>家賃単価/月</t>
  </si>
  <si>
    <t>家賃/月</t>
  </si>
  <si>
    <t>家賃／年</t>
  </si>
  <si>
    <t>共益費</t>
  </si>
  <si>
    <t>駐車場</t>
  </si>
  <si>
    <t>台</t>
  </si>
  <si>
    <t>駐車場２</t>
  </si>
  <si>
    <t>合計</t>
  </si>
  <si>
    <t>借入金</t>
  </si>
  <si>
    <t>金利</t>
  </si>
  <si>
    <t>火災保険料</t>
  </si>
  <si>
    <t>火災保険年数</t>
  </si>
  <si>
    <t>資産掛率(土)</t>
  </si>
  <si>
    <t>資産掛率(建)</t>
  </si>
  <si>
    <t>都市計画掛率</t>
  </si>
  <si>
    <t>修繕費掛率</t>
  </si>
  <si>
    <t>管理委託掛率</t>
  </si>
  <si>
    <t>　　　税　　　金　　　等　　　計</t>
  </si>
  <si>
    <t>　　管　理　費　計</t>
  </si>
  <si>
    <t>固定資産税(土)</t>
  </si>
  <si>
    <t>固定資産税(建)</t>
  </si>
  <si>
    <t>都市計画税</t>
  </si>
  <si>
    <t>火災保険</t>
  </si>
  <si>
    <t>建物償却費</t>
  </si>
  <si>
    <t>修繕費</t>
  </si>
  <si>
    <t>管理委託</t>
  </si>
  <si>
    <t>土地坪数(坪)</t>
  </si>
  <si>
    <t>土地評価額</t>
  </si>
  <si>
    <t>土地時価割合</t>
  </si>
  <si>
    <t>課税軽減 1/</t>
  </si>
  <si>
    <t>万/坪</t>
  </si>
  <si>
    <t>（３年毎に４％down）</t>
  </si>
  <si>
    <t>建物時価割合</t>
  </si>
  <si>
    <t>貸家評価割合</t>
  </si>
  <si>
    <t>土地評価金額</t>
  </si>
  <si>
    <t>万円</t>
  </si>
  <si>
    <t>建物評価金額</t>
  </si>
  <si>
    <t>登記費用</t>
  </si>
  <si>
    <t>水道分担金</t>
  </si>
  <si>
    <t>その他負担</t>
  </si>
  <si>
    <t>１～５年</t>
  </si>
  <si>
    <t>６～１０年</t>
  </si>
  <si>
    <t>１１～１５年</t>
  </si>
  <si>
    <t>１６～２０年</t>
  </si>
  <si>
    <t>２１～２７年</t>
  </si>
  <si>
    <t>建設費(税込)</t>
  </si>
  <si>
    <t>創業費</t>
  </si>
  <si>
    <t>その他</t>
  </si>
  <si>
    <t>初年度税金</t>
  </si>
  <si>
    <t>合計金額</t>
  </si>
  <si>
    <t>15年目改修費</t>
  </si>
  <si>
    <t>解体費</t>
  </si>
  <si>
    <t>投資総額</t>
  </si>
  <si>
    <t>収益総額</t>
  </si>
  <si>
    <t>年収益額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</si>
</sst>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0"/>
    </font>
    <font>
      <sz val="6"/>
      <name val="ＭＳ Ｐゴシック"/>
      <family val="0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b/>
      <sz val="11"/>
      <name val="ＭＳ Ｐ明朝"/>
      <family val="1"/>
    </font>
    <font>
      <b/>
      <sz val="11"/>
      <name val="ＭＳ Ｐゴシック"/>
      <family val="0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9" fontId="0" fillId="0" borderId="1" xfId="15" applyFont="1" applyFill="1" applyBorder="1" applyAlignment="1" applyProtection="1">
      <alignment horizontal="center" vertical="center" shrinkToFit="1"/>
      <protection/>
    </xf>
    <xf numFmtId="38" fontId="0" fillId="0" borderId="1" xfId="0" applyNumberFormat="1" applyFont="1" applyFill="1" applyBorder="1" applyAlignment="1" applyProtection="1">
      <alignment vertical="center" shrinkToFit="1"/>
      <protection/>
    </xf>
    <xf numFmtId="38" fontId="3" fillId="0" borderId="2" xfId="16" applyFont="1" applyFill="1" applyBorder="1" applyAlignment="1" applyProtection="1">
      <alignment horizontal="right" vertical="center" shrinkToFit="1"/>
      <protection locked="0"/>
    </xf>
    <xf numFmtId="10" fontId="3" fillId="0" borderId="3" xfId="15" applyNumberFormat="1" applyFont="1" applyFill="1" applyBorder="1" applyAlignment="1" applyProtection="1">
      <alignment horizontal="center" vertical="center" shrinkToFit="1"/>
      <protection locked="0"/>
    </xf>
    <xf numFmtId="38" fontId="0" fillId="0" borderId="3" xfId="16" applyFont="1" applyFill="1" applyBorder="1" applyAlignment="1" applyProtection="1">
      <alignment vertical="center" shrinkToFit="1"/>
      <protection locked="0"/>
    </xf>
    <xf numFmtId="38" fontId="0" fillId="0" borderId="4" xfId="16" applyFont="1" applyFill="1" applyBorder="1" applyAlignment="1" applyProtection="1">
      <alignment horizontal="center" vertical="center" shrinkToFit="1"/>
      <protection locked="0"/>
    </xf>
    <xf numFmtId="9" fontId="0" fillId="0" borderId="1" xfId="15" applyFont="1" applyFill="1" applyBorder="1" applyAlignment="1" applyProtection="1">
      <alignment horizontal="center" vertical="center" shrinkToFit="1"/>
      <protection/>
    </xf>
    <xf numFmtId="0" fontId="0" fillId="0" borderId="5" xfId="0" applyFont="1" applyFill="1" applyBorder="1" applyAlignment="1" applyProtection="1">
      <alignment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38" fontId="0" fillId="0" borderId="5" xfId="16" applyFont="1" applyFill="1" applyBorder="1" applyAlignment="1" applyProtection="1">
      <alignment vertical="center" shrinkToFit="1"/>
      <protection locked="0"/>
    </xf>
    <xf numFmtId="49" fontId="0" fillId="0" borderId="6" xfId="0" applyNumberFormat="1" applyFont="1" applyFill="1" applyBorder="1" applyAlignment="1" applyProtection="1">
      <alignment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38" fontId="0" fillId="0" borderId="7" xfId="16" applyFont="1" applyFill="1" applyBorder="1" applyAlignment="1" applyProtection="1">
      <alignment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/>
    </xf>
    <xf numFmtId="38" fontId="0" fillId="0" borderId="7" xfId="16" applyFont="1" applyFill="1" applyBorder="1" applyAlignment="1" applyProtection="1">
      <alignment horizontal="center" vertical="center" shrinkToFit="1"/>
      <protection/>
    </xf>
    <xf numFmtId="38" fontId="0" fillId="0" borderId="6" xfId="16" applyFont="1" applyFill="1" applyBorder="1" applyAlignment="1" applyProtection="1">
      <alignment horizontal="center" vertical="center" shrinkToFit="1"/>
      <protection/>
    </xf>
    <xf numFmtId="38" fontId="0" fillId="0" borderId="6" xfId="16" applyFont="1" applyFill="1" applyBorder="1" applyAlignment="1" applyProtection="1">
      <alignment vertical="center" shrinkToFit="1"/>
      <protection locked="0"/>
    </xf>
    <xf numFmtId="9" fontId="0" fillId="0" borderId="1" xfId="15" applyFont="1" applyFill="1" applyBorder="1" applyAlignment="1" applyProtection="1">
      <alignment horizontal="center" vertical="center" shrinkToFit="1"/>
      <protection/>
    </xf>
    <xf numFmtId="38" fontId="0" fillId="0" borderId="5" xfId="16" applyFont="1" applyFill="1" applyBorder="1" applyAlignment="1" applyProtection="1">
      <alignment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38" fontId="0" fillId="0" borderId="1" xfId="0" applyNumberFormat="1" applyFont="1" applyFill="1" applyBorder="1" applyAlignment="1" applyProtection="1">
      <alignment vertical="center" shrinkToFit="1"/>
      <protection/>
    </xf>
    <xf numFmtId="38" fontId="0" fillId="0" borderId="7" xfId="16" applyFont="1" applyFill="1" applyBorder="1" applyAlignment="1" applyProtection="1">
      <alignment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38" fontId="0" fillId="0" borderId="6" xfId="16" applyFont="1" applyFill="1" applyBorder="1" applyAlignment="1" applyProtection="1">
      <alignment vertical="center" shrinkToFit="1"/>
      <protection locked="0"/>
    </xf>
    <xf numFmtId="176" fontId="0" fillId="0" borderId="8" xfId="15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vertical="center" shrinkToFit="1"/>
    </xf>
    <xf numFmtId="9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0" xfId="16" applyFont="1" applyFill="1" applyBorder="1" applyAlignment="1">
      <alignment horizontal="center" vertical="center" shrinkToFit="1"/>
    </xf>
    <xf numFmtId="38" fontId="0" fillId="0" borderId="0" xfId="16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1" xfId="16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38" fontId="0" fillId="0" borderId="1" xfId="16" applyFont="1" applyFill="1" applyBorder="1" applyAlignment="1" applyProtection="1">
      <alignment vertical="center" shrinkToFit="1"/>
      <protection/>
    </xf>
    <xf numFmtId="38" fontId="0" fillId="0" borderId="1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38" fontId="0" fillId="0" borderId="15" xfId="16" applyFont="1" applyFill="1" applyBorder="1" applyAlignment="1">
      <alignment vertical="center" shrinkToFit="1"/>
    </xf>
    <xf numFmtId="49" fontId="0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/>
    </xf>
    <xf numFmtId="49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49" fontId="0" fillId="0" borderId="1" xfId="0" applyNumberFormat="1" applyFont="1" applyFill="1" applyBorder="1" applyAlignment="1" applyProtection="1">
      <alignment vertical="center" shrinkToFit="1"/>
      <protection locked="0"/>
    </xf>
    <xf numFmtId="38" fontId="0" fillId="0" borderId="0" xfId="16" applyFont="1" applyFill="1" applyBorder="1" applyAlignment="1">
      <alignment horizontal="center" vertical="center" shrinkToFit="1"/>
    </xf>
    <xf numFmtId="38" fontId="0" fillId="0" borderId="0" xfId="16" applyFont="1" applyFill="1" applyAlignment="1">
      <alignment vertical="center" shrinkToFit="1"/>
    </xf>
    <xf numFmtId="38" fontId="0" fillId="0" borderId="1" xfId="16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1" xfId="16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shrinkToFit="1"/>
    </xf>
    <xf numFmtId="0" fontId="0" fillId="0" borderId="13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38" fontId="0" fillId="0" borderId="12" xfId="16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1" xfId="0" applyFont="1" applyFill="1" applyBorder="1" applyAlignment="1" applyProtection="1">
      <alignment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38" fontId="0" fillId="0" borderId="17" xfId="16" applyFont="1" applyFill="1" applyBorder="1" applyAlignment="1">
      <alignment vertical="center" shrinkToFit="1"/>
    </xf>
    <xf numFmtId="38" fontId="0" fillId="0" borderId="1" xfId="16" applyFont="1" applyFill="1" applyBorder="1" applyAlignment="1">
      <alignment vertical="center" shrinkToFit="1"/>
    </xf>
    <xf numFmtId="0" fontId="0" fillId="0" borderId="1" xfId="0" applyFont="1" applyFill="1" applyBorder="1" applyAlignment="1" applyProtection="1">
      <alignment horizontal="right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right" vertical="center" shrinkToFit="1"/>
      <protection locked="0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38" fontId="0" fillId="0" borderId="20" xfId="0" applyNumberFormat="1" applyFont="1" applyFill="1" applyBorder="1" applyAlignment="1">
      <alignment vertical="center" shrinkToFit="1"/>
    </xf>
    <xf numFmtId="38" fontId="0" fillId="0" borderId="1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 shrinkToFit="1"/>
    </xf>
    <xf numFmtId="38" fontId="0" fillId="0" borderId="18" xfId="16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38" fontId="0" fillId="0" borderId="1" xfId="16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shrinkToFit="1"/>
    </xf>
    <xf numFmtId="38" fontId="0" fillId="0" borderId="1" xfId="16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vertical="center" shrinkToFit="1"/>
      <protection/>
    </xf>
    <xf numFmtId="176" fontId="0" fillId="0" borderId="13" xfId="15" applyNumberFormat="1" applyFont="1" applyFill="1" applyBorder="1" applyAlignment="1" applyProtection="1">
      <alignment horizontal="center" vertical="center" shrinkToFit="1"/>
      <protection locked="0"/>
    </xf>
    <xf numFmtId="38" fontId="0" fillId="0" borderId="1" xfId="16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>
      <alignment vertical="center" shrinkToFit="1"/>
    </xf>
    <xf numFmtId="38" fontId="0" fillId="2" borderId="13" xfId="16" applyFont="1" applyFill="1" applyBorder="1" applyAlignment="1">
      <alignment horizontal="center" vertical="center" shrinkToFit="1"/>
    </xf>
    <xf numFmtId="38" fontId="0" fillId="2" borderId="1" xfId="16" applyFont="1" applyFill="1" applyBorder="1" applyAlignment="1">
      <alignment vertical="center" shrinkToFit="1"/>
    </xf>
    <xf numFmtId="38" fontId="0" fillId="2" borderId="1" xfId="16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vertical="center" shrinkToFit="1"/>
    </xf>
    <xf numFmtId="9" fontId="0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>
      <alignment horizontal="center" vertical="center" shrinkToFit="1"/>
    </xf>
    <xf numFmtId="38" fontId="0" fillId="2" borderId="0" xfId="16" applyFont="1" applyFill="1" applyBorder="1" applyAlignment="1">
      <alignment horizontal="center" vertical="center" shrinkToFit="1"/>
    </xf>
    <xf numFmtId="38" fontId="0" fillId="2" borderId="13" xfId="16" applyFont="1" applyFill="1" applyBorder="1" applyAlignment="1">
      <alignment vertical="center" shrinkToFit="1"/>
    </xf>
    <xf numFmtId="38" fontId="0" fillId="2" borderId="17" xfId="16" applyFont="1" applyFill="1" applyBorder="1" applyAlignment="1" applyProtection="1">
      <alignment vertical="center" shrinkToFit="1"/>
      <protection locked="0"/>
    </xf>
    <xf numFmtId="38" fontId="0" fillId="2" borderId="1" xfId="0" applyNumberFormat="1" applyFont="1" applyFill="1" applyBorder="1" applyAlignment="1">
      <alignment vertical="center" shrinkToFit="1"/>
    </xf>
    <xf numFmtId="38" fontId="0" fillId="2" borderId="0" xfId="16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10" fontId="0" fillId="2" borderId="1" xfId="15" applyNumberFormat="1" applyFont="1" applyFill="1" applyBorder="1" applyAlignment="1">
      <alignment horizontal="center" vertical="center" shrinkToFit="1"/>
    </xf>
    <xf numFmtId="38" fontId="0" fillId="2" borderId="19" xfId="16" applyFont="1" applyFill="1" applyBorder="1" applyAlignment="1">
      <alignment vertical="center" shrinkToFit="1"/>
    </xf>
    <xf numFmtId="0" fontId="0" fillId="2" borderId="0" xfId="0" applyFont="1" applyFill="1" applyAlignment="1">
      <alignment shrinkToFit="1"/>
    </xf>
    <xf numFmtId="38" fontId="0" fillId="0" borderId="13" xfId="16" applyFont="1" applyFill="1" applyBorder="1" applyAlignment="1">
      <alignment horizontal="center" vertical="center" shrinkToFit="1"/>
    </xf>
    <xf numFmtId="10" fontId="0" fillId="0" borderId="13" xfId="15" applyNumberFormat="1" applyFont="1" applyFill="1" applyBorder="1" applyAlignment="1" applyProtection="1">
      <alignment horizontal="center" vertical="center" shrinkToFit="1"/>
      <protection locked="0"/>
    </xf>
    <xf numFmtId="10" fontId="0" fillId="0" borderId="1" xfId="15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right" vertical="center" shrinkToFit="1"/>
      <protection locked="0"/>
    </xf>
    <xf numFmtId="0" fontId="0" fillId="0" borderId="15" xfId="0" applyFont="1" applyFill="1" applyBorder="1" applyAlignment="1">
      <alignment vertical="center" shrinkToFit="1"/>
    </xf>
    <xf numFmtId="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38" fontId="0" fillId="0" borderId="0" xfId="16" applyFont="1" applyFill="1" applyAlignment="1">
      <alignment vertical="center" shrinkToFit="1"/>
    </xf>
    <xf numFmtId="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21" xfId="16" applyFont="1" applyFill="1" applyBorder="1" applyAlignment="1" applyProtection="1">
      <alignment horizontal="center" vertical="center" shrinkToFit="1"/>
      <protection locked="0"/>
    </xf>
    <xf numFmtId="38" fontId="0" fillId="0" borderId="4" xfId="16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9" fontId="0" fillId="0" borderId="0" xfId="0" applyNumberFormat="1" applyFont="1" applyFill="1" applyBorder="1" applyAlignment="1">
      <alignment horizontal="center" vertical="center" shrinkToFit="1"/>
    </xf>
    <xf numFmtId="38" fontId="0" fillId="0" borderId="13" xfId="16" applyFont="1" applyFill="1" applyBorder="1" applyAlignment="1">
      <alignment horizontal="right" vertical="center" shrinkToFit="1"/>
    </xf>
    <xf numFmtId="38" fontId="0" fillId="0" borderId="13" xfId="16" applyFont="1" applyFill="1" applyBorder="1" applyAlignment="1" applyProtection="1">
      <alignment horizontal="center" vertical="center" shrinkToFit="1"/>
      <protection/>
    </xf>
    <xf numFmtId="38" fontId="0" fillId="0" borderId="17" xfId="16" applyFont="1" applyFill="1" applyBorder="1" applyAlignment="1" applyProtection="1">
      <alignment horizontal="center" vertical="center" shrinkToFit="1"/>
      <protection/>
    </xf>
    <xf numFmtId="10" fontId="0" fillId="0" borderId="13" xfId="15" applyNumberFormat="1" applyFont="1" applyFill="1" applyBorder="1" applyAlignment="1" applyProtection="1">
      <alignment horizontal="center" vertical="center" shrinkToFit="1"/>
      <protection locked="0"/>
    </xf>
    <xf numFmtId="10" fontId="0" fillId="0" borderId="17" xfId="15" applyNumberFormat="1" applyFont="1" applyFill="1" applyBorder="1" applyAlignment="1" applyProtection="1">
      <alignment horizontal="center" vertical="center" shrinkToFit="1"/>
      <protection locked="0"/>
    </xf>
    <xf numFmtId="38" fontId="0" fillId="0" borderId="11" xfId="16" applyFont="1" applyFill="1" applyBorder="1" applyAlignment="1">
      <alignment horizontal="center" vertical="center" shrinkToFit="1"/>
    </xf>
    <xf numFmtId="38" fontId="0" fillId="0" borderId="17" xfId="16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38" fontId="0" fillId="0" borderId="15" xfId="16" applyFont="1" applyFill="1" applyBorder="1" applyAlignment="1" applyProtection="1">
      <alignment horizontal="center" vertical="center" shrinkToFit="1"/>
      <protection/>
    </xf>
    <xf numFmtId="0" fontId="0" fillId="2" borderId="18" xfId="0" applyFont="1" applyFill="1" applyBorder="1" applyAlignment="1">
      <alignment horizontal="center" vertical="center" shrinkToFit="1"/>
    </xf>
    <xf numFmtId="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18" xfId="16" applyFont="1" applyFill="1" applyBorder="1" applyAlignment="1">
      <alignment horizontal="center" vertical="center" shrinkToFit="1"/>
    </xf>
    <xf numFmtId="38" fontId="0" fillId="0" borderId="3" xfId="16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horizontal="center" vertical="center" shrinkToFit="1"/>
    </xf>
    <xf numFmtId="38" fontId="0" fillId="2" borderId="22" xfId="16" applyFont="1" applyFill="1" applyBorder="1" applyAlignment="1" applyProtection="1">
      <alignment vertical="center" shrinkToFit="1"/>
      <protection locked="0"/>
    </xf>
    <xf numFmtId="38" fontId="0" fillId="2" borderId="10" xfId="16" applyFont="1" applyFill="1" applyBorder="1" applyAlignment="1" applyProtection="1">
      <alignment vertical="center" shrinkToFit="1"/>
      <protection locked="0"/>
    </xf>
    <xf numFmtId="38" fontId="0" fillId="0" borderId="13" xfId="16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 shrinkToFit="1"/>
    </xf>
    <xf numFmtId="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38" fontId="0" fillId="2" borderId="13" xfId="16" applyFont="1" applyFill="1" applyBorder="1" applyAlignment="1">
      <alignment horizontal="center" vertical="center" shrinkToFit="1"/>
    </xf>
    <xf numFmtId="38" fontId="0" fillId="2" borderId="17" xfId="16" applyFont="1" applyFill="1" applyBorder="1" applyAlignment="1">
      <alignment horizontal="center" vertical="center" shrinkToFit="1"/>
    </xf>
    <xf numFmtId="38" fontId="0" fillId="2" borderId="16" xfId="16" applyFont="1" applyFill="1" applyBorder="1" applyAlignment="1">
      <alignment vertical="center" shrinkToFit="1"/>
    </xf>
    <xf numFmtId="38" fontId="0" fillId="2" borderId="20" xfId="16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38" fontId="7" fillId="2" borderId="14" xfId="16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25">
      <selection activeCell="P61" sqref="P61"/>
    </sheetView>
  </sheetViews>
  <sheetFormatPr defaultColWidth="13.00390625" defaultRowHeight="13.5"/>
  <cols>
    <col min="1" max="1" width="14.50390625" style="64" customWidth="1"/>
    <col min="2" max="3" width="7.125" style="64" customWidth="1"/>
    <col min="4" max="5" width="11.625" style="64" customWidth="1"/>
    <col min="6" max="6" width="12.375" style="64" customWidth="1"/>
    <col min="7" max="9" width="9.00390625" style="64" customWidth="1"/>
    <col min="10" max="18" width="9.625" style="64" customWidth="1"/>
    <col min="19" max="16384" width="9.00390625" style="64" customWidth="1"/>
  </cols>
  <sheetData>
    <row r="1" spans="1:18" s="36" customFormat="1" ht="13.5">
      <c r="A1" s="34"/>
      <c r="B1" s="34"/>
      <c r="C1" s="34"/>
      <c r="D1" s="34"/>
      <c r="E1" s="34"/>
      <c r="F1" s="34"/>
      <c r="G1" s="34"/>
      <c r="H1" s="34"/>
      <c r="I1" s="34"/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35" t="s">
        <v>33</v>
      </c>
      <c r="P1" s="35" t="s">
        <v>34</v>
      </c>
      <c r="Q1" s="1" t="s">
        <v>35</v>
      </c>
      <c r="R1" s="1" t="s">
        <v>36</v>
      </c>
    </row>
    <row r="2" spans="1:18" s="43" customFormat="1" ht="13.5">
      <c r="A2" s="157" t="s">
        <v>6</v>
      </c>
      <c r="B2" s="157"/>
      <c r="C2" s="157"/>
      <c r="D2" s="37"/>
      <c r="E2" s="37"/>
      <c r="F2" s="38" t="s">
        <v>37</v>
      </c>
      <c r="G2" s="39"/>
      <c r="H2" s="39"/>
      <c r="I2" s="39"/>
      <c r="J2" s="40">
        <v>1</v>
      </c>
      <c r="K2" s="8">
        <f>A46</f>
        <v>0.95</v>
      </c>
      <c r="L2" s="41">
        <f aca="true" t="shared" si="0" ref="L2:L28">$F$22*$K2</f>
        <v>11320200</v>
      </c>
      <c r="M2" s="42">
        <f>IF($B$26&gt;=$J$2,ROUND(PMT($D$26,$B$26,$A$26)*-1,-3),0)</f>
        <v>7870000</v>
      </c>
      <c r="N2" s="41">
        <f>SUM(L31:O31)+B50</f>
        <v>619100</v>
      </c>
      <c r="O2" s="41">
        <f>SUM(Q31:R31)</f>
        <v>905616</v>
      </c>
      <c r="P2" s="41"/>
      <c r="Q2" s="42">
        <f>R2</f>
        <v>1930000</v>
      </c>
      <c r="R2" s="42">
        <f aca="true" t="shared" si="1" ref="R2:R15">ROUND(L2-M2-N2-O2,-4)</f>
        <v>1930000</v>
      </c>
    </row>
    <row r="3" spans="1:18" s="43" customFormat="1" ht="14.25" thickBot="1">
      <c r="A3" s="44" t="s">
        <v>38</v>
      </c>
      <c r="B3" s="160" t="s">
        <v>39</v>
      </c>
      <c r="C3" s="161"/>
      <c r="D3" s="45" t="s">
        <v>40</v>
      </c>
      <c r="E3" s="46" t="s">
        <v>41</v>
      </c>
      <c r="F3" s="47" t="s">
        <v>1</v>
      </c>
      <c r="G3" s="39" t="s">
        <v>2</v>
      </c>
      <c r="H3" s="39"/>
      <c r="I3" s="39"/>
      <c r="J3" s="40">
        <v>2</v>
      </c>
      <c r="K3" s="8">
        <f>K2</f>
        <v>0.95</v>
      </c>
      <c r="L3" s="41">
        <f t="shared" si="0"/>
        <v>11320200</v>
      </c>
      <c r="M3" s="42">
        <f aca="true" t="shared" si="2" ref="M3:M28">IF(B$26&gt;=J3,ROUND(PMT($D$26,$B$26,$A$26)*-1,-3),0)</f>
        <v>7870000</v>
      </c>
      <c r="N3" s="41">
        <f>SUM(L32:O32)</f>
        <v>615500</v>
      </c>
      <c r="O3" s="41">
        <f>SUM(Q32:R32)</f>
        <v>939576.6</v>
      </c>
      <c r="P3" s="41"/>
      <c r="Q3" s="42">
        <f>Q2+R3</f>
        <v>3830000</v>
      </c>
      <c r="R3" s="42">
        <f t="shared" si="1"/>
        <v>1900000</v>
      </c>
    </row>
    <row r="4" spans="1:18" s="43" customFormat="1" ht="13.5">
      <c r="A4" s="9" t="s">
        <v>22</v>
      </c>
      <c r="B4" s="10">
        <v>5</v>
      </c>
      <c r="C4" s="48" t="s">
        <v>42</v>
      </c>
      <c r="D4" s="11"/>
      <c r="E4" s="49">
        <f aca="true" t="shared" si="3" ref="E4:E10">ROUND(B4*D4,-5)*1.05</f>
        <v>0</v>
      </c>
      <c r="F4" s="50"/>
      <c r="G4" s="39" t="s">
        <v>43</v>
      </c>
      <c r="H4" s="39"/>
      <c r="I4" s="39"/>
      <c r="J4" s="40">
        <v>3</v>
      </c>
      <c r="K4" s="8">
        <f>K3</f>
        <v>0.95</v>
      </c>
      <c r="L4" s="41">
        <f t="shared" si="0"/>
        <v>11320200</v>
      </c>
      <c r="M4" s="42">
        <f t="shared" si="2"/>
        <v>7870000</v>
      </c>
      <c r="N4" s="41">
        <f>SUM(L33:O33)</f>
        <v>612100</v>
      </c>
      <c r="O4" s="41">
        <f aca="true" t="shared" si="4" ref="O4:O26">SUM(Q33:R33)</f>
        <v>939576.6</v>
      </c>
      <c r="P4" s="41"/>
      <c r="Q4" s="42">
        <f aca="true" t="shared" si="5" ref="Q4:Q23">Q3+R4</f>
        <v>5730000</v>
      </c>
      <c r="R4" s="42">
        <f t="shared" si="1"/>
        <v>1900000</v>
      </c>
    </row>
    <row r="5" spans="1:18" s="43" customFormat="1" ht="14.25" thickBot="1">
      <c r="A5" s="12" t="s">
        <v>23</v>
      </c>
      <c r="B5" s="13">
        <v>8</v>
      </c>
      <c r="C5" s="51" t="s">
        <v>42</v>
      </c>
      <c r="D5" s="14"/>
      <c r="E5" s="49">
        <f t="shared" si="3"/>
        <v>0</v>
      </c>
      <c r="F5" s="50"/>
      <c r="G5" s="39" t="s">
        <v>44</v>
      </c>
      <c r="H5" s="39"/>
      <c r="I5" s="39"/>
      <c r="J5" s="40">
        <v>4</v>
      </c>
      <c r="K5" s="8">
        <f>K4</f>
        <v>0.95</v>
      </c>
      <c r="L5" s="41">
        <f t="shared" si="0"/>
        <v>11320200</v>
      </c>
      <c r="M5" s="42">
        <f t="shared" si="2"/>
        <v>7870000</v>
      </c>
      <c r="N5" s="41">
        <f>SUM(L34:O34)</f>
        <v>608800</v>
      </c>
      <c r="O5" s="41">
        <f t="shared" si="4"/>
        <v>939576.6</v>
      </c>
      <c r="P5" s="41"/>
      <c r="Q5" s="42">
        <f t="shared" si="5"/>
        <v>7630000</v>
      </c>
      <c r="R5" s="42">
        <f t="shared" si="1"/>
        <v>1900000</v>
      </c>
    </row>
    <row r="6" spans="1:18" s="43" customFormat="1" ht="13.5">
      <c r="A6" s="52" t="s">
        <v>24</v>
      </c>
      <c r="B6" s="15">
        <v>1</v>
      </c>
      <c r="C6" s="51" t="s">
        <v>25</v>
      </c>
      <c r="D6" s="14"/>
      <c r="E6" s="49">
        <f t="shared" si="3"/>
        <v>0</v>
      </c>
      <c r="F6" s="53"/>
      <c r="G6" s="39"/>
      <c r="H6" s="39"/>
      <c r="I6" s="39"/>
      <c r="J6" s="40">
        <v>5</v>
      </c>
      <c r="K6" s="8">
        <f>K5</f>
        <v>0.95</v>
      </c>
      <c r="L6" s="41">
        <f t="shared" si="0"/>
        <v>11320200</v>
      </c>
      <c r="M6" s="42">
        <f t="shared" si="2"/>
        <v>7870000</v>
      </c>
      <c r="N6" s="41">
        <f aca="true" t="shared" si="6" ref="N6:N26">SUM(L35:O35)</f>
        <v>605600</v>
      </c>
      <c r="O6" s="41">
        <f t="shared" si="4"/>
        <v>939576.6</v>
      </c>
      <c r="P6" s="41"/>
      <c r="Q6" s="42">
        <f t="shared" si="5"/>
        <v>9540000</v>
      </c>
      <c r="R6" s="42">
        <f t="shared" si="1"/>
        <v>1910000</v>
      </c>
    </row>
    <row r="7" spans="1:18" s="43" customFormat="1" ht="13.5">
      <c r="A7" s="54" t="s">
        <v>3</v>
      </c>
      <c r="B7" s="13"/>
      <c r="C7" s="51" t="s">
        <v>42</v>
      </c>
      <c r="D7" s="14"/>
      <c r="E7" s="49">
        <f t="shared" si="3"/>
        <v>0</v>
      </c>
      <c r="F7" s="50" t="s">
        <v>46</v>
      </c>
      <c r="G7" s="39"/>
      <c r="H7" s="39"/>
      <c r="I7" s="39"/>
      <c r="J7" s="40">
        <v>6</v>
      </c>
      <c r="K7" s="8">
        <f>B46</f>
        <v>0.95</v>
      </c>
      <c r="L7" s="41">
        <f t="shared" si="0"/>
        <v>11320200</v>
      </c>
      <c r="M7" s="42">
        <f t="shared" si="2"/>
        <v>7870000</v>
      </c>
      <c r="N7" s="41">
        <f t="shared" si="6"/>
        <v>602500</v>
      </c>
      <c r="O7" s="41">
        <f t="shared" si="4"/>
        <v>939576.6</v>
      </c>
      <c r="P7" s="41"/>
      <c r="Q7" s="42">
        <f t="shared" si="5"/>
        <v>11450000</v>
      </c>
      <c r="R7" s="42">
        <f t="shared" si="1"/>
        <v>1910000</v>
      </c>
    </row>
    <row r="8" spans="1:18" s="43" customFormat="1" ht="13.5">
      <c r="A8" s="54" t="s">
        <v>47</v>
      </c>
      <c r="B8" s="13"/>
      <c r="C8" s="51" t="s">
        <v>42</v>
      </c>
      <c r="D8" s="14"/>
      <c r="E8" s="49">
        <f t="shared" si="3"/>
        <v>0</v>
      </c>
      <c r="F8" s="50" t="s">
        <v>46</v>
      </c>
      <c r="G8" s="39"/>
      <c r="H8" s="39"/>
      <c r="I8" s="39"/>
      <c r="J8" s="40">
        <v>7</v>
      </c>
      <c r="K8" s="8">
        <f>K7</f>
        <v>0.95</v>
      </c>
      <c r="L8" s="41">
        <f t="shared" si="0"/>
        <v>11320200</v>
      </c>
      <c r="M8" s="42">
        <f t="shared" si="2"/>
        <v>7870000</v>
      </c>
      <c r="N8" s="41">
        <f t="shared" si="6"/>
        <v>585600</v>
      </c>
      <c r="O8" s="41">
        <f t="shared" si="4"/>
        <v>939576.6</v>
      </c>
      <c r="P8" s="41"/>
      <c r="Q8" s="42">
        <f t="shared" si="5"/>
        <v>13380000</v>
      </c>
      <c r="R8" s="42">
        <f t="shared" si="1"/>
        <v>1930000</v>
      </c>
    </row>
    <row r="9" spans="1:18" s="43" customFormat="1" ht="13.5">
      <c r="A9" s="55" t="s">
        <v>48</v>
      </c>
      <c r="B9" s="15">
        <v>1</v>
      </c>
      <c r="C9" s="56" t="s">
        <v>45</v>
      </c>
      <c r="D9" s="14"/>
      <c r="E9" s="49">
        <f t="shared" si="3"/>
        <v>0</v>
      </c>
      <c r="F9" s="50" t="s">
        <v>21</v>
      </c>
      <c r="G9" s="39"/>
      <c r="H9" s="39"/>
      <c r="I9" s="39"/>
      <c r="J9" s="40">
        <v>8</v>
      </c>
      <c r="K9" s="8">
        <f>K8</f>
        <v>0.95</v>
      </c>
      <c r="L9" s="41">
        <f t="shared" si="0"/>
        <v>11320200</v>
      </c>
      <c r="M9" s="42">
        <f t="shared" si="2"/>
        <v>7870000</v>
      </c>
      <c r="N9" s="41">
        <f t="shared" si="6"/>
        <v>582800</v>
      </c>
      <c r="O9" s="41">
        <f t="shared" si="4"/>
        <v>939576.6</v>
      </c>
      <c r="P9" s="41"/>
      <c r="Q9" s="42">
        <f t="shared" si="5"/>
        <v>15310000</v>
      </c>
      <c r="R9" s="42">
        <f t="shared" si="1"/>
        <v>1930000</v>
      </c>
    </row>
    <row r="10" spans="1:18" s="43" customFormat="1" ht="13.5">
      <c r="A10" s="55" t="s">
        <v>48</v>
      </c>
      <c r="B10" s="16">
        <v>1</v>
      </c>
      <c r="C10" s="56" t="s">
        <v>45</v>
      </c>
      <c r="D10" s="14"/>
      <c r="E10" s="49">
        <f t="shared" si="3"/>
        <v>0</v>
      </c>
      <c r="F10" s="57" t="s">
        <v>20</v>
      </c>
      <c r="G10" s="39"/>
      <c r="H10" s="39"/>
      <c r="I10" s="39"/>
      <c r="J10" s="40">
        <v>9</v>
      </c>
      <c r="K10" s="8">
        <f>K9</f>
        <v>0.95</v>
      </c>
      <c r="L10" s="41">
        <f t="shared" si="0"/>
        <v>11320200</v>
      </c>
      <c r="M10" s="42">
        <f t="shared" si="2"/>
        <v>7870000</v>
      </c>
      <c r="N10" s="41">
        <f t="shared" si="6"/>
        <v>580100</v>
      </c>
      <c r="O10" s="41">
        <f t="shared" si="4"/>
        <v>939576.6</v>
      </c>
      <c r="P10" s="41"/>
      <c r="Q10" s="42">
        <f t="shared" si="5"/>
        <v>17240000</v>
      </c>
      <c r="R10" s="42">
        <f t="shared" si="1"/>
        <v>1930000</v>
      </c>
    </row>
    <row r="11" spans="1:18" s="43" customFormat="1" ht="14.25" thickBot="1">
      <c r="A11" s="55" t="s">
        <v>49</v>
      </c>
      <c r="B11" s="17">
        <v>1</v>
      </c>
      <c r="C11" s="56" t="s">
        <v>45</v>
      </c>
      <c r="D11" s="18"/>
      <c r="E11" s="49"/>
      <c r="F11" s="57"/>
      <c r="G11" s="39"/>
      <c r="H11" s="39"/>
      <c r="I11" s="39"/>
      <c r="J11" s="40">
        <v>10</v>
      </c>
      <c r="K11" s="8">
        <f>K10</f>
        <v>0.95</v>
      </c>
      <c r="L11" s="41">
        <f t="shared" si="0"/>
        <v>11320200</v>
      </c>
      <c r="M11" s="42">
        <f t="shared" si="2"/>
        <v>7870000</v>
      </c>
      <c r="N11" s="41">
        <f t="shared" si="6"/>
        <v>564100</v>
      </c>
      <c r="O11" s="41">
        <f t="shared" si="4"/>
        <v>939576.6</v>
      </c>
      <c r="P11" s="41"/>
      <c r="Q11" s="42">
        <f t="shared" si="5"/>
        <v>19190000</v>
      </c>
      <c r="R11" s="42">
        <f t="shared" si="1"/>
        <v>1950000</v>
      </c>
    </row>
    <row r="12" spans="1:18" s="43" customFormat="1" ht="13.5">
      <c r="A12" s="39"/>
      <c r="B12" s="58"/>
      <c r="C12" s="58"/>
      <c r="D12" s="59"/>
      <c r="E12" s="60">
        <f>SUM(E4:E11)</f>
        <v>0</v>
      </c>
      <c r="F12" s="60" t="s">
        <v>50</v>
      </c>
      <c r="G12" s="61"/>
      <c r="H12" s="61"/>
      <c r="I12" s="61"/>
      <c r="J12" s="40">
        <v>11</v>
      </c>
      <c r="K12" s="8">
        <f>D46</f>
        <v>0.95</v>
      </c>
      <c r="L12" s="41">
        <f t="shared" si="0"/>
        <v>11320200</v>
      </c>
      <c r="M12" s="42">
        <f t="shared" si="2"/>
        <v>7870000</v>
      </c>
      <c r="N12" s="41">
        <f t="shared" si="6"/>
        <v>561600</v>
      </c>
      <c r="O12" s="41">
        <f t="shared" si="4"/>
        <v>939576.6</v>
      </c>
      <c r="P12" s="41"/>
      <c r="Q12" s="42">
        <f t="shared" si="5"/>
        <v>21140000</v>
      </c>
      <c r="R12" s="42">
        <f t="shared" si="1"/>
        <v>1950000</v>
      </c>
    </row>
    <row r="13" spans="1:18" s="43" customFormat="1" ht="13.5">
      <c r="A13" s="39"/>
      <c r="B13" s="39"/>
      <c r="C13" s="39"/>
      <c r="D13" s="39"/>
      <c r="E13" s="39"/>
      <c r="F13" s="39"/>
      <c r="G13" s="39"/>
      <c r="H13" s="39"/>
      <c r="I13" s="39"/>
      <c r="J13" s="40">
        <v>12</v>
      </c>
      <c r="K13" s="8">
        <f>K12</f>
        <v>0.95</v>
      </c>
      <c r="L13" s="41">
        <f t="shared" si="0"/>
        <v>11320200</v>
      </c>
      <c r="M13" s="42">
        <f t="shared" si="2"/>
        <v>7870000</v>
      </c>
      <c r="N13" s="41">
        <f t="shared" si="6"/>
        <v>559200</v>
      </c>
      <c r="O13" s="41">
        <f t="shared" si="4"/>
        <v>939576.6</v>
      </c>
      <c r="P13" s="41"/>
      <c r="Q13" s="42">
        <f t="shared" si="5"/>
        <v>23090000</v>
      </c>
      <c r="R13" s="42">
        <f t="shared" si="1"/>
        <v>1950000</v>
      </c>
    </row>
    <row r="14" spans="1:18" ht="13.5">
      <c r="A14" s="158" t="s">
        <v>7</v>
      </c>
      <c r="B14" s="158"/>
      <c r="C14" s="158"/>
      <c r="D14" s="62"/>
      <c r="E14" s="62"/>
      <c r="F14" s="62"/>
      <c r="G14" s="62"/>
      <c r="H14" s="62"/>
      <c r="I14" s="62"/>
      <c r="J14" s="21">
        <v>13</v>
      </c>
      <c r="K14" s="19">
        <f>K13</f>
        <v>0.95</v>
      </c>
      <c r="L14" s="63">
        <f t="shared" si="0"/>
        <v>11320200</v>
      </c>
      <c r="M14" s="22">
        <f t="shared" si="2"/>
        <v>7870000</v>
      </c>
      <c r="N14" s="63">
        <f t="shared" si="6"/>
        <v>544000</v>
      </c>
      <c r="O14" s="63">
        <f t="shared" si="4"/>
        <v>939576.6</v>
      </c>
      <c r="P14" s="63"/>
      <c r="Q14" s="22">
        <f t="shared" si="5"/>
        <v>25060000</v>
      </c>
      <c r="R14" s="22">
        <f t="shared" si="1"/>
        <v>1970000</v>
      </c>
    </row>
    <row r="15" spans="1:18" ht="14.25" thickBot="1">
      <c r="A15" s="65" t="s">
        <v>38</v>
      </c>
      <c r="B15" s="153" t="s">
        <v>51</v>
      </c>
      <c r="C15" s="134"/>
      <c r="D15" s="67" t="s">
        <v>52</v>
      </c>
      <c r="E15" s="68" t="s">
        <v>53</v>
      </c>
      <c r="F15" s="68" t="s">
        <v>54</v>
      </c>
      <c r="G15" s="62"/>
      <c r="H15" s="62"/>
      <c r="I15" s="62"/>
      <c r="J15" s="21">
        <v>14</v>
      </c>
      <c r="K15" s="19">
        <f>K14</f>
        <v>0.95</v>
      </c>
      <c r="L15" s="63">
        <f t="shared" si="0"/>
        <v>11320200</v>
      </c>
      <c r="M15" s="22">
        <f t="shared" si="2"/>
        <v>7870000</v>
      </c>
      <c r="N15" s="63">
        <f t="shared" si="6"/>
        <v>541700</v>
      </c>
      <c r="O15" s="63">
        <f t="shared" si="4"/>
        <v>939576.6</v>
      </c>
      <c r="P15" s="63"/>
      <c r="Q15" s="22">
        <f t="shared" si="5"/>
        <v>27030000</v>
      </c>
      <c r="R15" s="22">
        <f t="shared" si="1"/>
        <v>1970000</v>
      </c>
    </row>
    <row r="16" spans="1:18" ht="13.5">
      <c r="A16" s="69" t="str">
        <f>A4</f>
        <v>1DK</v>
      </c>
      <c r="B16" s="70">
        <f>B4</f>
        <v>5</v>
      </c>
      <c r="C16" s="71" t="str">
        <f>C4</f>
        <v>戸</v>
      </c>
      <c r="D16" s="20">
        <v>51200</v>
      </c>
      <c r="E16" s="72">
        <f aca="true" t="shared" si="7" ref="E16:E21">ROUND(B16*D16,-3)</f>
        <v>256000</v>
      </c>
      <c r="F16" s="73">
        <f aca="true" t="shared" si="8" ref="F16:F21">E16*12</f>
        <v>3072000</v>
      </c>
      <c r="G16" s="62" t="s">
        <v>4</v>
      </c>
      <c r="H16" s="62"/>
      <c r="I16" s="62"/>
      <c r="J16" s="21">
        <v>15</v>
      </c>
      <c r="K16" s="19">
        <f>K15</f>
        <v>0.95</v>
      </c>
      <c r="L16" s="63">
        <f t="shared" si="0"/>
        <v>11320200</v>
      </c>
      <c r="M16" s="22">
        <f t="shared" si="2"/>
        <v>7870000</v>
      </c>
      <c r="N16" s="63">
        <f t="shared" si="6"/>
        <v>539500</v>
      </c>
      <c r="O16" s="63">
        <f t="shared" si="4"/>
        <v>939576.6</v>
      </c>
      <c r="P16" s="63">
        <f>ROUND($A$55/11,-1)</f>
        <v>0</v>
      </c>
      <c r="Q16" s="22">
        <f t="shared" si="5"/>
        <v>29000000</v>
      </c>
      <c r="R16" s="22">
        <f aca="true" t="shared" si="9" ref="R16:R26">ROUND(L16-M16-N16-O16-P16,-4)</f>
        <v>1970000</v>
      </c>
    </row>
    <row r="17" spans="1:18" ht="13.5">
      <c r="A17" s="69" t="s">
        <v>55</v>
      </c>
      <c r="B17" s="74">
        <f>B16</f>
        <v>5</v>
      </c>
      <c r="C17" s="75" t="s">
        <v>42</v>
      </c>
      <c r="D17" s="23">
        <v>0</v>
      </c>
      <c r="E17" s="72">
        <f t="shared" si="7"/>
        <v>0</v>
      </c>
      <c r="F17" s="73">
        <f t="shared" si="8"/>
        <v>0</v>
      </c>
      <c r="G17" s="62" t="s">
        <v>43</v>
      </c>
      <c r="H17" s="62"/>
      <c r="I17" s="62"/>
      <c r="J17" s="21">
        <v>16</v>
      </c>
      <c r="K17" s="19">
        <f>E46</f>
        <v>0.95</v>
      </c>
      <c r="L17" s="63">
        <f t="shared" si="0"/>
        <v>11320200</v>
      </c>
      <c r="M17" s="22">
        <f t="shared" si="2"/>
        <v>7870000</v>
      </c>
      <c r="N17" s="63">
        <f t="shared" si="6"/>
        <v>525000</v>
      </c>
      <c r="O17" s="63">
        <f t="shared" si="4"/>
        <v>939576.6</v>
      </c>
      <c r="P17" s="63">
        <f aca="true" t="shared" si="10" ref="P17:P28">ROUND($A$55/11,-1)</f>
        <v>0</v>
      </c>
      <c r="Q17" s="22">
        <f t="shared" si="5"/>
        <v>30990000</v>
      </c>
      <c r="R17" s="22">
        <f t="shared" si="9"/>
        <v>1990000</v>
      </c>
    </row>
    <row r="18" spans="1:18" ht="13.5">
      <c r="A18" s="69" t="str">
        <f>A5</f>
        <v>3DK</v>
      </c>
      <c r="B18" s="70">
        <f>B5</f>
        <v>8</v>
      </c>
      <c r="C18" s="75" t="str">
        <f>C5</f>
        <v>戸</v>
      </c>
      <c r="D18" s="23">
        <v>79000</v>
      </c>
      <c r="E18" s="72">
        <f t="shared" si="7"/>
        <v>632000</v>
      </c>
      <c r="F18" s="73">
        <f t="shared" si="8"/>
        <v>7584000</v>
      </c>
      <c r="G18" s="62" t="s">
        <v>44</v>
      </c>
      <c r="H18" s="62"/>
      <c r="I18" s="62"/>
      <c r="J18" s="21">
        <v>17</v>
      </c>
      <c r="K18" s="19">
        <f>K17</f>
        <v>0.95</v>
      </c>
      <c r="L18" s="63">
        <f t="shared" si="0"/>
        <v>11320200</v>
      </c>
      <c r="M18" s="22">
        <f t="shared" si="2"/>
        <v>7870000</v>
      </c>
      <c r="N18" s="63">
        <f t="shared" si="6"/>
        <v>523000</v>
      </c>
      <c r="O18" s="63">
        <f t="shared" si="4"/>
        <v>939576.6</v>
      </c>
      <c r="P18" s="63">
        <f t="shared" si="10"/>
        <v>0</v>
      </c>
      <c r="Q18" s="22">
        <f t="shared" si="5"/>
        <v>32980000</v>
      </c>
      <c r="R18" s="22">
        <f t="shared" si="9"/>
        <v>1990000</v>
      </c>
    </row>
    <row r="19" spans="1:18" ht="14.25" thickBot="1">
      <c r="A19" s="76" t="s">
        <v>26</v>
      </c>
      <c r="B19" s="77">
        <v>1</v>
      </c>
      <c r="C19" s="75" t="s">
        <v>42</v>
      </c>
      <c r="D19" s="23">
        <v>105000</v>
      </c>
      <c r="E19" s="72">
        <f t="shared" si="7"/>
        <v>105000</v>
      </c>
      <c r="F19" s="73">
        <f t="shared" si="8"/>
        <v>1260000</v>
      </c>
      <c r="G19" s="62" t="s">
        <v>44</v>
      </c>
      <c r="H19" s="62"/>
      <c r="I19" s="62"/>
      <c r="J19" s="21">
        <v>18</v>
      </c>
      <c r="K19" s="19">
        <f>K18</f>
        <v>0.95</v>
      </c>
      <c r="L19" s="63">
        <f t="shared" si="0"/>
        <v>11320200</v>
      </c>
      <c r="M19" s="22">
        <f t="shared" si="2"/>
        <v>7870000</v>
      </c>
      <c r="N19" s="63">
        <f t="shared" si="6"/>
        <v>521100</v>
      </c>
      <c r="O19" s="63">
        <f t="shared" si="4"/>
        <v>939576.6</v>
      </c>
      <c r="P19" s="63">
        <f t="shared" si="10"/>
        <v>0</v>
      </c>
      <c r="Q19" s="22">
        <f t="shared" si="5"/>
        <v>34970000</v>
      </c>
      <c r="R19" s="22">
        <f t="shared" si="9"/>
        <v>1990000</v>
      </c>
    </row>
    <row r="20" spans="1:18" ht="13.5">
      <c r="A20" s="76" t="s">
        <v>56</v>
      </c>
      <c r="B20" s="24"/>
      <c r="C20" s="75" t="s">
        <v>57</v>
      </c>
      <c r="D20" s="23"/>
      <c r="E20" s="72">
        <f t="shared" si="7"/>
        <v>0</v>
      </c>
      <c r="F20" s="73">
        <f t="shared" si="8"/>
        <v>0</v>
      </c>
      <c r="G20" s="62"/>
      <c r="H20" s="62"/>
      <c r="I20" s="62"/>
      <c r="J20" s="21">
        <v>19</v>
      </c>
      <c r="K20" s="19">
        <f>K19</f>
        <v>0.95</v>
      </c>
      <c r="L20" s="63">
        <f t="shared" si="0"/>
        <v>11320200</v>
      </c>
      <c r="M20" s="22">
        <f t="shared" si="2"/>
        <v>7870000</v>
      </c>
      <c r="N20" s="63">
        <f t="shared" si="6"/>
        <v>507300</v>
      </c>
      <c r="O20" s="63">
        <f t="shared" si="4"/>
        <v>939576.6</v>
      </c>
      <c r="P20" s="63">
        <f t="shared" si="10"/>
        <v>0</v>
      </c>
      <c r="Q20" s="22">
        <f t="shared" si="5"/>
        <v>36970000</v>
      </c>
      <c r="R20" s="22">
        <f t="shared" si="9"/>
        <v>2000000</v>
      </c>
    </row>
    <row r="21" spans="1:18" ht="14.25" thickBot="1">
      <c r="A21" s="76" t="s">
        <v>58</v>
      </c>
      <c r="B21" s="25"/>
      <c r="C21" s="75" t="s">
        <v>57</v>
      </c>
      <c r="D21" s="26"/>
      <c r="E21" s="72">
        <f t="shared" si="7"/>
        <v>0</v>
      </c>
      <c r="F21" s="73">
        <f t="shared" si="8"/>
        <v>0</v>
      </c>
      <c r="G21" s="62"/>
      <c r="H21" s="62"/>
      <c r="I21" s="62"/>
      <c r="J21" s="21">
        <v>20</v>
      </c>
      <c r="K21" s="19">
        <f>K20</f>
        <v>0.95</v>
      </c>
      <c r="L21" s="63">
        <f t="shared" si="0"/>
        <v>11320200</v>
      </c>
      <c r="M21" s="22">
        <f t="shared" si="2"/>
        <v>7870000</v>
      </c>
      <c r="N21" s="63">
        <f t="shared" si="6"/>
        <v>505500</v>
      </c>
      <c r="O21" s="63">
        <f t="shared" si="4"/>
        <v>939576.6</v>
      </c>
      <c r="P21" s="63">
        <f t="shared" si="10"/>
        <v>0</v>
      </c>
      <c r="Q21" s="22">
        <f t="shared" si="5"/>
        <v>38980000</v>
      </c>
      <c r="R21" s="22">
        <f t="shared" si="9"/>
        <v>2010000</v>
      </c>
    </row>
    <row r="22" spans="1:18" ht="13.5">
      <c r="A22" s="78" t="s">
        <v>59</v>
      </c>
      <c r="B22" s="79"/>
      <c r="C22" s="80"/>
      <c r="D22" s="81"/>
      <c r="E22" s="82">
        <f>SUM(E16:E21)</f>
        <v>993000</v>
      </c>
      <c r="F22" s="82">
        <f>SUM(F16:F21)</f>
        <v>11916000</v>
      </c>
      <c r="G22" s="62"/>
      <c r="H22" s="62"/>
      <c r="I22" s="62"/>
      <c r="J22" s="21">
        <v>21</v>
      </c>
      <c r="K22" s="19">
        <f>F46</f>
        <v>0.95</v>
      </c>
      <c r="L22" s="63">
        <f t="shared" si="0"/>
        <v>11320200</v>
      </c>
      <c r="M22" s="22">
        <f t="shared" si="2"/>
        <v>7870000</v>
      </c>
      <c r="N22" s="63">
        <f t="shared" si="6"/>
        <v>503800</v>
      </c>
      <c r="O22" s="63">
        <f t="shared" si="4"/>
        <v>939576.6</v>
      </c>
      <c r="P22" s="63">
        <f t="shared" si="10"/>
        <v>0</v>
      </c>
      <c r="Q22" s="22">
        <f t="shared" si="5"/>
        <v>40990000</v>
      </c>
      <c r="R22" s="22">
        <f t="shared" si="9"/>
        <v>2010000</v>
      </c>
    </row>
    <row r="23" spans="1:18" ht="13.5">
      <c r="A23" s="62"/>
      <c r="B23" s="62"/>
      <c r="C23" s="62"/>
      <c r="D23" s="62"/>
      <c r="E23" s="62"/>
      <c r="F23" s="62"/>
      <c r="G23" s="62"/>
      <c r="H23" s="62"/>
      <c r="I23" s="62"/>
      <c r="J23" s="21">
        <v>22</v>
      </c>
      <c r="K23" s="19">
        <f aca="true" t="shared" si="11" ref="K23:K28">K22</f>
        <v>0.95</v>
      </c>
      <c r="L23" s="63">
        <f t="shared" si="0"/>
        <v>11320200</v>
      </c>
      <c r="M23" s="22">
        <f t="shared" si="2"/>
        <v>7870000</v>
      </c>
      <c r="N23" s="63">
        <f t="shared" si="6"/>
        <v>490700</v>
      </c>
      <c r="O23" s="63">
        <f t="shared" si="4"/>
        <v>939576.6</v>
      </c>
      <c r="P23" s="63">
        <f t="shared" si="10"/>
        <v>0</v>
      </c>
      <c r="Q23" s="22">
        <f t="shared" si="5"/>
        <v>43010000</v>
      </c>
      <c r="R23" s="22">
        <f t="shared" si="9"/>
        <v>2020000</v>
      </c>
    </row>
    <row r="24" spans="1:18" ht="13.5">
      <c r="A24" s="145" t="s">
        <v>8</v>
      </c>
      <c r="B24" s="145"/>
      <c r="C24" s="145"/>
      <c r="D24" s="62"/>
      <c r="E24" s="145" t="s">
        <v>9</v>
      </c>
      <c r="F24" s="145"/>
      <c r="G24" s="62"/>
      <c r="H24" s="62"/>
      <c r="I24" s="62"/>
      <c r="J24" s="21">
        <v>23</v>
      </c>
      <c r="K24" s="19">
        <f t="shared" si="11"/>
        <v>0.95</v>
      </c>
      <c r="L24" s="63">
        <f t="shared" si="0"/>
        <v>11320200</v>
      </c>
      <c r="M24" s="22">
        <f t="shared" si="2"/>
        <v>7870000</v>
      </c>
      <c r="N24" s="63">
        <f t="shared" si="6"/>
        <v>489100</v>
      </c>
      <c r="O24" s="63">
        <f t="shared" si="4"/>
        <v>939576.6</v>
      </c>
      <c r="P24" s="63">
        <f t="shared" si="10"/>
        <v>0</v>
      </c>
      <c r="Q24" s="22">
        <f>Q23+R24</f>
        <v>45030000</v>
      </c>
      <c r="R24" s="22">
        <f t="shared" si="9"/>
        <v>2020000</v>
      </c>
    </row>
    <row r="25" spans="1:18" ht="14.25" thickBot="1">
      <c r="A25" s="66" t="s">
        <v>60</v>
      </c>
      <c r="B25" s="153" t="s">
        <v>5</v>
      </c>
      <c r="C25" s="154"/>
      <c r="D25" s="83" t="s">
        <v>61</v>
      </c>
      <c r="E25" s="84" t="s">
        <v>62</v>
      </c>
      <c r="F25" s="84" t="s">
        <v>63</v>
      </c>
      <c r="G25" s="62"/>
      <c r="H25" s="62"/>
      <c r="I25" s="62"/>
      <c r="J25" s="21">
        <v>24</v>
      </c>
      <c r="K25" s="19">
        <f t="shared" si="11"/>
        <v>0.95</v>
      </c>
      <c r="L25" s="63">
        <f t="shared" si="0"/>
        <v>11320200</v>
      </c>
      <c r="M25" s="22">
        <f t="shared" si="2"/>
        <v>7870000</v>
      </c>
      <c r="N25" s="63">
        <f t="shared" si="6"/>
        <v>487500</v>
      </c>
      <c r="O25" s="63">
        <f t="shared" si="4"/>
        <v>939576.6</v>
      </c>
      <c r="P25" s="63">
        <f t="shared" si="10"/>
        <v>0</v>
      </c>
      <c r="Q25" s="22">
        <f>Q24+R25</f>
        <v>47050000</v>
      </c>
      <c r="R25" s="22">
        <f t="shared" si="9"/>
        <v>2020000</v>
      </c>
    </row>
    <row r="26" spans="1:18" s="88" customFormat="1" ht="14.25" thickBot="1">
      <c r="A26" s="4">
        <v>145000000</v>
      </c>
      <c r="B26" s="155">
        <v>25</v>
      </c>
      <c r="C26" s="156"/>
      <c r="D26" s="5">
        <v>0.025</v>
      </c>
      <c r="E26" s="6">
        <v>1875000</v>
      </c>
      <c r="F26" s="7">
        <v>25</v>
      </c>
      <c r="G26" s="85"/>
      <c r="H26" s="85"/>
      <c r="I26" s="85"/>
      <c r="J26" s="86">
        <v>25</v>
      </c>
      <c r="K26" s="2">
        <f t="shared" si="11"/>
        <v>0.95</v>
      </c>
      <c r="L26" s="87">
        <f t="shared" si="0"/>
        <v>11320200</v>
      </c>
      <c r="M26" s="3">
        <f t="shared" si="2"/>
        <v>7870000</v>
      </c>
      <c r="N26" s="87">
        <f t="shared" si="6"/>
        <v>475000</v>
      </c>
      <c r="O26" s="87">
        <f t="shared" si="4"/>
        <v>939576.6</v>
      </c>
      <c r="P26" s="87">
        <f t="shared" si="10"/>
        <v>0</v>
      </c>
      <c r="Q26" s="3">
        <f>Q25+R26</f>
        <v>49090000</v>
      </c>
      <c r="R26" s="3">
        <f t="shared" si="9"/>
        <v>2040000</v>
      </c>
    </row>
    <row r="27" spans="1:18" s="88" customFormat="1" ht="13.5">
      <c r="A27" s="85"/>
      <c r="B27" s="85"/>
      <c r="C27" s="85"/>
      <c r="D27" s="85"/>
      <c r="E27" s="85"/>
      <c r="F27" s="85"/>
      <c r="G27" s="85"/>
      <c r="H27" s="85"/>
      <c r="I27" s="85"/>
      <c r="J27" s="86">
        <v>26</v>
      </c>
      <c r="K27" s="2">
        <f t="shared" si="11"/>
        <v>0.95</v>
      </c>
      <c r="L27" s="87">
        <f t="shared" si="0"/>
        <v>11320200</v>
      </c>
      <c r="M27" s="3">
        <f t="shared" si="2"/>
        <v>0</v>
      </c>
      <c r="N27" s="87">
        <f>SUM(L56:O56)</f>
        <v>398600</v>
      </c>
      <c r="O27" s="87">
        <f>SUM(Q56:R56)</f>
        <v>939576.6</v>
      </c>
      <c r="P27" s="87">
        <f t="shared" si="10"/>
        <v>0</v>
      </c>
      <c r="Q27" s="3">
        <f>Q26+R27</f>
        <v>59070000</v>
      </c>
      <c r="R27" s="3">
        <f>ROUND(L27-M27-N27-O27-P27,-4)</f>
        <v>9980000</v>
      </c>
    </row>
    <row r="28" spans="1:18" ht="13.5">
      <c r="A28" s="145" t="s">
        <v>10</v>
      </c>
      <c r="B28" s="145"/>
      <c r="C28" s="145"/>
      <c r="D28" s="145"/>
      <c r="E28" s="145" t="s">
        <v>11</v>
      </c>
      <c r="F28" s="145"/>
      <c r="G28" s="62"/>
      <c r="H28" s="62"/>
      <c r="I28" s="62"/>
      <c r="J28" s="21">
        <v>27</v>
      </c>
      <c r="K28" s="19">
        <f t="shared" si="11"/>
        <v>0.95</v>
      </c>
      <c r="L28" s="63">
        <f t="shared" si="0"/>
        <v>11320200</v>
      </c>
      <c r="M28" s="22">
        <f t="shared" si="2"/>
        <v>0</v>
      </c>
      <c r="N28" s="63">
        <f>SUM(L57:O57)</f>
        <v>397200</v>
      </c>
      <c r="O28" s="63">
        <f>SUM(Q57:R57)</f>
        <v>939576.6</v>
      </c>
      <c r="P28" s="63">
        <f t="shared" si="10"/>
        <v>0</v>
      </c>
      <c r="Q28" s="22">
        <f>Q27+R28</f>
        <v>69050000</v>
      </c>
      <c r="R28" s="22">
        <f>ROUND(L28-M28-N28-O28-P28,-4)</f>
        <v>9980000</v>
      </c>
    </row>
    <row r="29" spans="1:18" ht="14.25" thickBot="1">
      <c r="A29" s="109" t="s">
        <v>64</v>
      </c>
      <c r="B29" s="144" t="s">
        <v>65</v>
      </c>
      <c r="C29" s="132"/>
      <c r="D29" s="73" t="s">
        <v>66</v>
      </c>
      <c r="E29" s="89" t="s">
        <v>67</v>
      </c>
      <c r="F29" s="84" t="s">
        <v>68</v>
      </c>
      <c r="G29" s="62"/>
      <c r="H29" s="62"/>
      <c r="I29" s="62"/>
      <c r="J29" s="90"/>
      <c r="K29" s="90"/>
      <c r="L29" s="127" t="s">
        <v>69</v>
      </c>
      <c r="M29" s="135"/>
      <c r="N29" s="135"/>
      <c r="O29" s="135"/>
      <c r="P29" s="128"/>
      <c r="Q29" s="127" t="s">
        <v>70</v>
      </c>
      <c r="R29" s="128"/>
    </row>
    <row r="30" spans="1:18" ht="14.25" thickBot="1">
      <c r="A30" s="110">
        <v>0.014</v>
      </c>
      <c r="B30" s="129">
        <v>0.014</v>
      </c>
      <c r="C30" s="130"/>
      <c r="D30" s="111">
        <v>0.003</v>
      </c>
      <c r="E30" s="91">
        <v>0.003</v>
      </c>
      <c r="F30" s="27">
        <v>0.08</v>
      </c>
      <c r="G30" s="62"/>
      <c r="H30" s="62"/>
      <c r="I30" s="62"/>
      <c r="J30" s="90"/>
      <c r="K30" s="90"/>
      <c r="L30" s="92" t="s">
        <v>71</v>
      </c>
      <c r="M30" s="92" t="s">
        <v>72</v>
      </c>
      <c r="N30" s="21" t="s">
        <v>73</v>
      </c>
      <c r="O30" s="92" t="s">
        <v>74</v>
      </c>
      <c r="P30" s="92" t="s">
        <v>75</v>
      </c>
      <c r="Q30" s="92" t="s">
        <v>76</v>
      </c>
      <c r="R30" s="92" t="s">
        <v>77</v>
      </c>
    </row>
    <row r="31" spans="1:18" ht="13.5">
      <c r="A31" s="62"/>
      <c r="B31" s="28"/>
      <c r="C31" s="62"/>
      <c r="D31" s="62"/>
      <c r="E31" s="62"/>
      <c r="F31" s="62"/>
      <c r="G31" s="62"/>
      <c r="H31" s="62"/>
      <c r="I31" s="62"/>
      <c r="J31" s="90"/>
      <c r="K31" s="90"/>
      <c r="L31" s="63">
        <f>ROUND($F$37*$A$30*10000,-2)</f>
        <v>98100</v>
      </c>
      <c r="M31" s="63">
        <f>ROUND($F$38*$B$30*10000,-2)</f>
        <v>350000</v>
      </c>
      <c r="N31" s="63">
        <f>ROUND(($F$37+$F$38)*$D$30*10000,-2)</f>
        <v>96000</v>
      </c>
      <c r="O31" s="63">
        <f aca="true" t="shared" si="12" ref="O31:O57">IF($F$26&gt;=$J2,ROUND($E$26/$F$26,-3),0)</f>
        <v>75000</v>
      </c>
      <c r="P31" s="63">
        <f>ROUND($E$12/27,-1)</f>
        <v>0</v>
      </c>
      <c r="Q31" s="63"/>
      <c r="R31" s="63">
        <f>L2*$F$30</f>
        <v>905616</v>
      </c>
    </row>
    <row r="32" spans="1:18" ht="13.5">
      <c r="A32" s="145" t="s">
        <v>12</v>
      </c>
      <c r="B32" s="145"/>
      <c r="C32" s="145"/>
      <c r="D32" s="62"/>
      <c r="E32" s="62"/>
      <c r="F32" s="62"/>
      <c r="G32" s="62"/>
      <c r="H32" s="62"/>
      <c r="I32" s="62"/>
      <c r="J32" s="90"/>
      <c r="K32" s="90"/>
      <c r="L32" s="63">
        <f aca="true" t="shared" si="13" ref="L32:L57">ROUND($F$37*$A$30*10000,-2)</f>
        <v>98100</v>
      </c>
      <c r="M32" s="63">
        <f>ROUND($F$38*$B$30*10000,-2)</f>
        <v>350000</v>
      </c>
      <c r="N32" s="63">
        <f>ROUND($N31*0.963,-2)</f>
        <v>92400</v>
      </c>
      <c r="O32" s="63">
        <f t="shared" si="12"/>
        <v>75000</v>
      </c>
      <c r="P32" s="63">
        <f aca="true" t="shared" si="14" ref="P32:P57">ROUND($E$12/27,-1)</f>
        <v>0</v>
      </c>
      <c r="Q32" s="63">
        <f>L3*$E$30</f>
        <v>33960.6</v>
      </c>
      <c r="R32" s="63">
        <f>L3*$F$30</f>
        <v>905616</v>
      </c>
    </row>
    <row r="33" spans="1:18" ht="14.25" thickBot="1">
      <c r="A33" s="112" t="s">
        <v>78</v>
      </c>
      <c r="B33" s="131" t="s">
        <v>79</v>
      </c>
      <c r="C33" s="132"/>
      <c r="D33" s="113" t="s">
        <v>80</v>
      </c>
      <c r="E33" s="83" t="s">
        <v>81</v>
      </c>
      <c r="F33" s="62"/>
      <c r="G33" s="62"/>
      <c r="H33" s="62"/>
      <c r="I33" s="62"/>
      <c r="J33" s="90"/>
      <c r="K33" s="90"/>
      <c r="L33" s="63">
        <f t="shared" si="13"/>
        <v>98100</v>
      </c>
      <c r="M33" s="63">
        <f>ROUND($F$38*$B$30*10000,-2)</f>
        <v>350000</v>
      </c>
      <c r="N33" s="63">
        <f aca="true" t="shared" si="15" ref="N33:N57">ROUND($N32*0.963,-2)</f>
        <v>89000</v>
      </c>
      <c r="O33" s="63">
        <f t="shared" si="12"/>
        <v>75000</v>
      </c>
      <c r="P33" s="63">
        <f t="shared" si="14"/>
        <v>0</v>
      </c>
      <c r="Q33" s="63">
        <f aca="true" t="shared" si="16" ref="Q33:Q55">L4*$E$30</f>
        <v>33960.6</v>
      </c>
      <c r="R33" s="63">
        <f aca="true" t="shared" si="17" ref="R33:R55">L4*$F$30</f>
        <v>905616</v>
      </c>
    </row>
    <row r="34" spans="1:18" ht="18" thickBot="1">
      <c r="A34" s="114">
        <v>130</v>
      </c>
      <c r="B34" s="115">
        <v>46.2</v>
      </c>
      <c r="C34" s="116" t="s">
        <v>82</v>
      </c>
      <c r="D34" s="117">
        <v>0.7</v>
      </c>
      <c r="E34" s="124">
        <v>6</v>
      </c>
      <c r="F34" s="62"/>
      <c r="G34" s="62"/>
      <c r="H34" s="62"/>
      <c r="I34" s="62"/>
      <c r="J34" s="90"/>
      <c r="K34" s="90"/>
      <c r="L34" s="63">
        <f t="shared" si="13"/>
        <v>98100</v>
      </c>
      <c r="M34" s="63">
        <f>ROUND($F$38*$B$30*10000,-2)</f>
        <v>350000</v>
      </c>
      <c r="N34" s="63">
        <f t="shared" si="15"/>
        <v>85700</v>
      </c>
      <c r="O34" s="63">
        <f t="shared" si="12"/>
        <v>75000</v>
      </c>
      <c r="P34" s="63">
        <f t="shared" si="14"/>
        <v>0</v>
      </c>
      <c r="Q34" s="63">
        <f t="shared" si="16"/>
        <v>33960.6</v>
      </c>
      <c r="R34" s="63">
        <f t="shared" si="17"/>
        <v>905616</v>
      </c>
    </row>
    <row r="35" spans="1:18" ht="16.5">
      <c r="A35" s="118"/>
      <c r="B35" s="119"/>
      <c r="C35" s="28"/>
      <c r="D35" s="118"/>
      <c r="E35" s="125"/>
      <c r="F35" s="125"/>
      <c r="G35" s="62"/>
      <c r="H35" s="62"/>
      <c r="I35" s="62"/>
      <c r="J35" s="90"/>
      <c r="K35" s="90"/>
      <c r="L35" s="63">
        <f t="shared" si="13"/>
        <v>98100</v>
      </c>
      <c r="M35" s="63">
        <f>M34</f>
        <v>350000</v>
      </c>
      <c r="N35" s="63">
        <f t="shared" si="15"/>
        <v>82500</v>
      </c>
      <c r="O35" s="63">
        <f t="shared" si="12"/>
        <v>75000</v>
      </c>
      <c r="P35" s="63">
        <f t="shared" si="14"/>
        <v>0</v>
      </c>
      <c r="Q35" s="63">
        <f t="shared" si="16"/>
        <v>33960.6</v>
      </c>
      <c r="R35" s="63">
        <f t="shared" si="17"/>
        <v>905616</v>
      </c>
    </row>
    <row r="36" spans="1:18" ht="16.5">
      <c r="A36" s="145" t="s">
        <v>13</v>
      </c>
      <c r="B36" s="145"/>
      <c r="C36" s="145"/>
      <c r="D36" s="120" t="s">
        <v>83</v>
      </c>
      <c r="E36" s="62"/>
      <c r="F36" s="62"/>
      <c r="G36" s="28"/>
      <c r="H36" s="28"/>
      <c r="I36" s="28"/>
      <c r="J36" s="90"/>
      <c r="K36" s="90"/>
      <c r="L36" s="63">
        <f t="shared" si="13"/>
        <v>98100</v>
      </c>
      <c r="M36" s="63">
        <f>M35</f>
        <v>350000</v>
      </c>
      <c r="N36" s="63">
        <f t="shared" si="15"/>
        <v>79400</v>
      </c>
      <c r="O36" s="63">
        <f t="shared" si="12"/>
        <v>75000</v>
      </c>
      <c r="P36" s="63">
        <f t="shared" si="14"/>
        <v>0</v>
      </c>
      <c r="Q36" s="63">
        <f t="shared" si="16"/>
        <v>33960.6</v>
      </c>
      <c r="R36" s="63">
        <f t="shared" si="17"/>
        <v>905616</v>
      </c>
    </row>
    <row r="37" spans="1:18" ht="16.5">
      <c r="A37" s="65" t="s">
        <v>84</v>
      </c>
      <c r="B37" s="133" t="s">
        <v>85</v>
      </c>
      <c r="C37" s="134"/>
      <c r="D37" s="62"/>
      <c r="E37" s="78" t="s">
        <v>86</v>
      </c>
      <c r="F37" s="126">
        <f>(A34*B34*D34)/E34</f>
        <v>700.6999999999999</v>
      </c>
      <c r="G37" s="80" t="s">
        <v>87</v>
      </c>
      <c r="H37" s="28"/>
      <c r="I37" s="28"/>
      <c r="J37" s="90"/>
      <c r="K37" s="90"/>
      <c r="L37" s="63">
        <f t="shared" si="13"/>
        <v>98100</v>
      </c>
      <c r="M37" s="63">
        <f>ROUND(M36*0.96,-2)</f>
        <v>336000</v>
      </c>
      <c r="N37" s="63">
        <f t="shared" si="15"/>
        <v>76500</v>
      </c>
      <c r="O37" s="63">
        <f t="shared" si="12"/>
        <v>75000</v>
      </c>
      <c r="P37" s="63">
        <f t="shared" si="14"/>
        <v>0</v>
      </c>
      <c r="Q37" s="63">
        <f t="shared" si="16"/>
        <v>33960.6</v>
      </c>
      <c r="R37" s="63">
        <f t="shared" si="17"/>
        <v>905616</v>
      </c>
    </row>
    <row r="38" spans="1:18" ht="16.5">
      <c r="A38" s="121">
        <v>0.6</v>
      </c>
      <c r="B38" s="137">
        <v>0.7</v>
      </c>
      <c r="C38" s="138"/>
      <c r="D38" s="62"/>
      <c r="E38" s="78" t="s">
        <v>88</v>
      </c>
      <c r="F38" s="126">
        <v>2500</v>
      </c>
      <c r="G38" s="80" t="s">
        <v>87</v>
      </c>
      <c r="H38" s="28"/>
      <c r="I38" s="28"/>
      <c r="J38" s="90"/>
      <c r="K38" s="90"/>
      <c r="L38" s="63">
        <f t="shared" si="13"/>
        <v>98100</v>
      </c>
      <c r="M38" s="63">
        <f>M37</f>
        <v>336000</v>
      </c>
      <c r="N38" s="63">
        <f t="shared" si="15"/>
        <v>73700</v>
      </c>
      <c r="O38" s="63">
        <f t="shared" si="12"/>
        <v>75000</v>
      </c>
      <c r="P38" s="63">
        <f t="shared" si="14"/>
        <v>0</v>
      </c>
      <c r="Q38" s="63">
        <f t="shared" si="16"/>
        <v>33960.6</v>
      </c>
      <c r="R38" s="63">
        <f t="shared" si="17"/>
        <v>905616</v>
      </c>
    </row>
    <row r="39" spans="1:18" ht="16.5">
      <c r="A39" s="62"/>
      <c r="B39" s="62"/>
      <c r="C39" s="62"/>
      <c r="D39" s="62"/>
      <c r="E39" s="62"/>
      <c r="F39" s="62"/>
      <c r="G39" s="62"/>
      <c r="H39" s="62"/>
      <c r="I39" s="62"/>
      <c r="J39" s="90"/>
      <c r="K39" s="90"/>
      <c r="L39" s="63">
        <f t="shared" si="13"/>
        <v>98100</v>
      </c>
      <c r="M39" s="63">
        <f>M38</f>
        <v>336000</v>
      </c>
      <c r="N39" s="63">
        <f t="shared" si="15"/>
        <v>71000</v>
      </c>
      <c r="O39" s="63">
        <f t="shared" si="12"/>
        <v>75000</v>
      </c>
      <c r="P39" s="63">
        <f t="shared" si="14"/>
        <v>0</v>
      </c>
      <c r="Q39" s="63">
        <f t="shared" si="16"/>
        <v>33960.6</v>
      </c>
      <c r="R39" s="63">
        <f t="shared" si="17"/>
        <v>905616</v>
      </c>
    </row>
    <row r="40" spans="1:18" ht="16.5">
      <c r="A40" s="145" t="s">
        <v>14</v>
      </c>
      <c r="B40" s="145"/>
      <c r="C40" s="145"/>
      <c r="D40" s="62"/>
      <c r="E40" s="62"/>
      <c r="F40" s="62"/>
      <c r="G40" s="62"/>
      <c r="H40" s="62"/>
      <c r="I40" s="62"/>
      <c r="J40" s="90"/>
      <c r="K40" s="90"/>
      <c r="L40" s="63">
        <f t="shared" si="13"/>
        <v>98100</v>
      </c>
      <c r="M40" s="63">
        <f>ROUND(M39*0.96,-2)</f>
        <v>322600</v>
      </c>
      <c r="N40" s="63">
        <f t="shared" si="15"/>
        <v>68400</v>
      </c>
      <c r="O40" s="63">
        <f t="shared" si="12"/>
        <v>75000</v>
      </c>
      <c r="P40" s="63">
        <f t="shared" si="14"/>
        <v>0</v>
      </c>
      <c r="Q40" s="63">
        <f t="shared" si="16"/>
        <v>33960.6</v>
      </c>
      <c r="R40" s="63">
        <f t="shared" si="17"/>
        <v>905616</v>
      </c>
    </row>
    <row r="41" spans="1:18" ht="18" thickBot="1">
      <c r="A41" s="84" t="s">
        <v>89</v>
      </c>
      <c r="B41" s="139" t="s">
        <v>90</v>
      </c>
      <c r="C41" s="139"/>
      <c r="D41" s="83" t="s">
        <v>91</v>
      </c>
      <c r="E41" s="62"/>
      <c r="F41" s="62"/>
      <c r="G41" s="62"/>
      <c r="H41" s="62"/>
      <c r="I41" s="62"/>
      <c r="J41" s="90"/>
      <c r="K41" s="90"/>
      <c r="L41" s="63">
        <f t="shared" si="13"/>
        <v>98100</v>
      </c>
      <c r="M41" s="63">
        <f>M40</f>
        <v>322600</v>
      </c>
      <c r="N41" s="63">
        <f t="shared" si="15"/>
        <v>65900</v>
      </c>
      <c r="O41" s="63">
        <f t="shared" si="12"/>
        <v>75000</v>
      </c>
      <c r="P41" s="63">
        <f t="shared" si="14"/>
        <v>0</v>
      </c>
      <c r="Q41" s="63">
        <f t="shared" si="16"/>
        <v>33960.6</v>
      </c>
      <c r="R41" s="63">
        <f t="shared" si="17"/>
        <v>905616</v>
      </c>
    </row>
    <row r="42" spans="1:18" ht="18" thickBot="1">
      <c r="A42" s="122"/>
      <c r="B42" s="140"/>
      <c r="C42" s="140"/>
      <c r="D42" s="123"/>
      <c r="E42" s="62" t="s">
        <v>19</v>
      </c>
      <c r="F42" s="62"/>
      <c r="G42" s="62"/>
      <c r="H42" s="62"/>
      <c r="I42" s="62"/>
      <c r="J42" s="90"/>
      <c r="K42" s="90"/>
      <c r="L42" s="63">
        <f t="shared" si="13"/>
        <v>98100</v>
      </c>
      <c r="M42" s="63">
        <f>M41</f>
        <v>322600</v>
      </c>
      <c r="N42" s="63">
        <f t="shared" si="15"/>
        <v>63500</v>
      </c>
      <c r="O42" s="63">
        <f t="shared" si="12"/>
        <v>75000</v>
      </c>
      <c r="P42" s="63">
        <f t="shared" si="14"/>
        <v>0</v>
      </c>
      <c r="Q42" s="63">
        <f t="shared" si="16"/>
        <v>33960.6</v>
      </c>
      <c r="R42" s="63">
        <f t="shared" si="17"/>
        <v>905616</v>
      </c>
    </row>
    <row r="43" spans="1:18" ht="16.5">
      <c r="A43" s="120"/>
      <c r="B43" s="120"/>
      <c r="C43" s="62"/>
      <c r="D43" s="62"/>
      <c r="E43" s="62"/>
      <c r="F43" s="62"/>
      <c r="G43" s="62"/>
      <c r="H43" s="62"/>
      <c r="I43" s="62"/>
      <c r="J43" s="90"/>
      <c r="K43" s="90"/>
      <c r="L43" s="63">
        <f t="shared" si="13"/>
        <v>98100</v>
      </c>
      <c r="M43" s="63">
        <f>ROUND(M42*0.96,-2)</f>
        <v>309700</v>
      </c>
      <c r="N43" s="63">
        <f t="shared" si="15"/>
        <v>61200</v>
      </c>
      <c r="O43" s="63">
        <f t="shared" si="12"/>
        <v>75000</v>
      </c>
      <c r="P43" s="63">
        <f t="shared" si="14"/>
        <v>0</v>
      </c>
      <c r="Q43" s="63">
        <f t="shared" si="16"/>
        <v>33960.6</v>
      </c>
      <c r="R43" s="63">
        <f t="shared" si="17"/>
        <v>905616</v>
      </c>
    </row>
    <row r="44" spans="1:18" ht="16.5">
      <c r="A44" s="145" t="s">
        <v>15</v>
      </c>
      <c r="B44" s="145"/>
      <c r="C44" s="145"/>
      <c r="D44" s="145"/>
      <c r="E44" s="145"/>
      <c r="F44" s="145"/>
      <c r="G44" s="62"/>
      <c r="H44" s="62"/>
      <c r="I44" s="62"/>
      <c r="J44" s="90"/>
      <c r="K44" s="90"/>
      <c r="L44" s="63">
        <f t="shared" si="13"/>
        <v>98100</v>
      </c>
      <c r="M44" s="63">
        <f>M43</f>
        <v>309700</v>
      </c>
      <c r="N44" s="63">
        <f t="shared" si="15"/>
        <v>58900</v>
      </c>
      <c r="O44" s="63">
        <f t="shared" si="12"/>
        <v>75000</v>
      </c>
      <c r="P44" s="63">
        <f t="shared" si="14"/>
        <v>0</v>
      </c>
      <c r="Q44" s="63">
        <f t="shared" si="16"/>
        <v>33960.6</v>
      </c>
      <c r="R44" s="63">
        <f t="shared" si="17"/>
        <v>905616</v>
      </c>
    </row>
    <row r="45" spans="1:18" ht="18" thickBot="1">
      <c r="A45" s="83" t="s">
        <v>92</v>
      </c>
      <c r="B45" s="141" t="s">
        <v>93</v>
      </c>
      <c r="C45" s="141"/>
      <c r="D45" s="83" t="s">
        <v>94</v>
      </c>
      <c r="E45" s="83" t="s">
        <v>95</v>
      </c>
      <c r="F45" s="83" t="s">
        <v>96</v>
      </c>
      <c r="G45" s="62"/>
      <c r="H45" s="62"/>
      <c r="I45" s="62"/>
      <c r="J45" s="90"/>
      <c r="K45" s="90"/>
      <c r="L45" s="63">
        <f t="shared" si="13"/>
        <v>98100</v>
      </c>
      <c r="M45" s="63">
        <f>M44</f>
        <v>309700</v>
      </c>
      <c r="N45" s="63">
        <f t="shared" si="15"/>
        <v>56700</v>
      </c>
      <c r="O45" s="63">
        <f t="shared" si="12"/>
        <v>75000</v>
      </c>
      <c r="P45" s="63">
        <f t="shared" si="14"/>
        <v>0</v>
      </c>
      <c r="Q45" s="63">
        <f t="shared" si="16"/>
        <v>33960.6</v>
      </c>
      <c r="R45" s="63">
        <f t="shared" si="17"/>
        <v>905616</v>
      </c>
    </row>
    <row r="46" spans="1:18" ht="18" thickBot="1">
      <c r="A46" s="29">
        <v>0.95</v>
      </c>
      <c r="B46" s="147">
        <v>0.95</v>
      </c>
      <c r="C46" s="148"/>
      <c r="D46" s="30">
        <v>0.95</v>
      </c>
      <c r="E46" s="30">
        <v>0.95</v>
      </c>
      <c r="F46" s="31">
        <v>0.95</v>
      </c>
      <c r="G46" s="62"/>
      <c r="H46" s="62"/>
      <c r="I46" s="62"/>
      <c r="J46" s="90"/>
      <c r="K46" s="90"/>
      <c r="L46" s="63">
        <f t="shared" si="13"/>
        <v>98100</v>
      </c>
      <c r="M46" s="63">
        <f>ROUND(M45*0.96,-2)</f>
        <v>297300</v>
      </c>
      <c r="N46" s="63">
        <f t="shared" si="15"/>
        <v>54600</v>
      </c>
      <c r="O46" s="63">
        <f t="shared" si="12"/>
        <v>75000</v>
      </c>
      <c r="P46" s="63">
        <f t="shared" si="14"/>
        <v>0</v>
      </c>
      <c r="Q46" s="63">
        <f t="shared" si="16"/>
        <v>33960.6</v>
      </c>
      <c r="R46" s="63">
        <f t="shared" si="17"/>
        <v>905616</v>
      </c>
    </row>
    <row r="47" spans="1:18" ht="16.5">
      <c r="A47" s="93"/>
      <c r="B47" s="93"/>
      <c r="C47" s="93"/>
      <c r="D47" s="93"/>
      <c r="E47" s="93"/>
      <c r="F47" s="93"/>
      <c r="G47" s="93"/>
      <c r="H47" s="62"/>
      <c r="I47" s="62"/>
      <c r="J47" s="90"/>
      <c r="K47" s="90"/>
      <c r="L47" s="63">
        <f t="shared" si="13"/>
        <v>98100</v>
      </c>
      <c r="M47" s="63">
        <f>M46</f>
        <v>297300</v>
      </c>
      <c r="N47" s="63">
        <f t="shared" si="15"/>
        <v>52600</v>
      </c>
      <c r="O47" s="63">
        <f t="shared" si="12"/>
        <v>75000</v>
      </c>
      <c r="P47" s="63">
        <f t="shared" si="14"/>
        <v>0</v>
      </c>
      <c r="Q47" s="63">
        <f t="shared" si="16"/>
        <v>33960.6</v>
      </c>
      <c r="R47" s="63">
        <f t="shared" si="17"/>
        <v>905616</v>
      </c>
    </row>
    <row r="48" spans="1:18" ht="16.5">
      <c r="A48" s="159" t="s">
        <v>16</v>
      </c>
      <c r="B48" s="159"/>
      <c r="C48" s="159"/>
      <c r="D48" s="93"/>
      <c r="E48" s="93"/>
      <c r="F48" s="93"/>
      <c r="G48" s="93"/>
      <c r="H48" s="62"/>
      <c r="I48" s="62"/>
      <c r="J48" s="90"/>
      <c r="K48" s="90"/>
      <c r="L48" s="63">
        <f t="shared" si="13"/>
        <v>98100</v>
      </c>
      <c r="M48" s="63">
        <f>M47</f>
        <v>297300</v>
      </c>
      <c r="N48" s="63">
        <f t="shared" si="15"/>
        <v>50700</v>
      </c>
      <c r="O48" s="63">
        <f t="shared" si="12"/>
        <v>75000</v>
      </c>
      <c r="P48" s="63">
        <f t="shared" si="14"/>
        <v>0</v>
      </c>
      <c r="Q48" s="63">
        <f t="shared" si="16"/>
        <v>33960.6</v>
      </c>
      <c r="R48" s="63">
        <f t="shared" si="17"/>
        <v>905616</v>
      </c>
    </row>
    <row r="49" spans="1:18" ht="16.5">
      <c r="A49" s="94" t="s">
        <v>97</v>
      </c>
      <c r="B49" s="149" t="s">
        <v>98</v>
      </c>
      <c r="C49" s="150"/>
      <c r="D49" s="99" t="s">
        <v>99</v>
      </c>
      <c r="E49" s="96" t="s">
        <v>100</v>
      </c>
      <c r="F49" s="96" t="s">
        <v>101</v>
      </c>
      <c r="G49" s="100"/>
      <c r="H49" s="32"/>
      <c r="I49" s="32"/>
      <c r="J49" s="90"/>
      <c r="K49" s="90"/>
      <c r="L49" s="63">
        <f t="shared" si="13"/>
        <v>98100</v>
      </c>
      <c r="M49" s="63">
        <f>ROUND(M48*0.96,-2)</f>
        <v>285400</v>
      </c>
      <c r="N49" s="63">
        <f t="shared" si="15"/>
        <v>48800</v>
      </c>
      <c r="O49" s="63">
        <f t="shared" si="12"/>
        <v>75000</v>
      </c>
      <c r="P49" s="63">
        <f t="shared" si="14"/>
        <v>0</v>
      </c>
      <c r="Q49" s="63">
        <f t="shared" si="16"/>
        <v>33960.6</v>
      </c>
      <c r="R49" s="63">
        <f t="shared" si="17"/>
        <v>905616</v>
      </c>
    </row>
    <row r="50" spans="1:18" ht="16.5">
      <c r="A50" s="101">
        <f>E12</f>
        <v>0</v>
      </c>
      <c r="B50" s="151">
        <f>SUM(A42:D42)</f>
        <v>0</v>
      </c>
      <c r="C50" s="152"/>
      <c r="D50" s="102"/>
      <c r="E50" s="95">
        <f>SUM(L31:O31)</f>
        <v>619100</v>
      </c>
      <c r="F50" s="103">
        <f>SUM(A50:E50)</f>
        <v>619100</v>
      </c>
      <c r="G50" s="104"/>
      <c r="H50" s="33"/>
      <c r="I50" s="33"/>
      <c r="J50" s="90"/>
      <c r="K50" s="90"/>
      <c r="L50" s="63">
        <f t="shared" si="13"/>
        <v>98100</v>
      </c>
      <c r="M50" s="63">
        <f>M49</f>
        <v>285400</v>
      </c>
      <c r="N50" s="63">
        <f t="shared" si="15"/>
        <v>47000</v>
      </c>
      <c r="O50" s="63">
        <f t="shared" si="12"/>
        <v>75000</v>
      </c>
      <c r="P50" s="63">
        <f t="shared" si="14"/>
        <v>0</v>
      </c>
      <c r="Q50" s="63">
        <f t="shared" si="16"/>
        <v>33960.6</v>
      </c>
      <c r="R50" s="63">
        <f t="shared" si="17"/>
        <v>905616</v>
      </c>
    </row>
    <row r="51" spans="1:18" ht="16.5">
      <c r="A51" s="93"/>
      <c r="B51" s="93"/>
      <c r="C51" s="93"/>
      <c r="D51" s="93"/>
      <c r="E51" s="93"/>
      <c r="F51" s="93"/>
      <c r="G51" s="93"/>
      <c r="H51" s="62"/>
      <c r="I51" s="62"/>
      <c r="J51" s="90"/>
      <c r="K51" s="90"/>
      <c r="L51" s="63">
        <f t="shared" si="13"/>
        <v>98100</v>
      </c>
      <c r="M51" s="63">
        <f>M50</f>
        <v>285400</v>
      </c>
      <c r="N51" s="63">
        <f t="shared" si="15"/>
        <v>45300</v>
      </c>
      <c r="O51" s="63">
        <f t="shared" si="12"/>
        <v>75000</v>
      </c>
      <c r="P51" s="63">
        <f t="shared" si="14"/>
        <v>0</v>
      </c>
      <c r="Q51" s="63">
        <f t="shared" si="16"/>
        <v>33960.6</v>
      </c>
      <c r="R51" s="63">
        <f t="shared" si="17"/>
        <v>905616</v>
      </c>
    </row>
    <row r="52" spans="1:18" ht="16.5">
      <c r="A52" s="146" t="s">
        <v>17</v>
      </c>
      <c r="B52" s="146"/>
      <c r="C52" s="146"/>
      <c r="D52" s="93"/>
      <c r="E52" s="146" t="s">
        <v>18</v>
      </c>
      <c r="F52" s="146"/>
      <c r="G52" s="93"/>
      <c r="H52" s="62"/>
      <c r="I52" s="62"/>
      <c r="J52" s="90"/>
      <c r="K52" s="90"/>
      <c r="L52" s="63">
        <f t="shared" si="13"/>
        <v>98100</v>
      </c>
      <c r="M52" s="63">
        <f>ROUND(M51*0.96,-2)</f>
        <v>274000</v>
      </c>
      <c r="N52" s="63">
        <f t="shared" si="15"/>
        <v>43600</v>
      </c>
      <c r="O52" s="63">
        <f t="shared" si="12"/>
        <v>75000</v>
      </c>
      <c r="P52" s="63">
        <f t="shared" si="14"/>
        <v>0</v>
      </c>
      <c r="Q52" s="63">
        <f t="shared" si="16"/>
        <v>33960.6</v>
      </c>
      <c r="R52" s="63">
        <f t="shared" si="17"/>
        <v>905616</v>
      </c>
    </row>
    <row r="53" spans="1:18" ht="18" thickBot="1">
      <c r="A53" s="97" t="s">
        <v>102</v>
      </c>
      <c r="B53" s="136" t="s">
        <v>103</v>
      </c>
      <c r="C53" s="136"/>
      <c r="D53" s="93"/>
      <c r="E53" s="105" t="s">
        <v>104</v>
      </c>
      <c r="F53" s="103">
        <f>$A$50+$B$50+$A$55+$B$54</f>
        <v>0</v>
      </c>
      <c r="G53" s="93"/>
      <c r="H53" s="62"/>
      <c r="I53" s="62"/>
      <c r="J53" s="90"/>
      <c r="K53" s="90"/>
      <c r="L53" s="63">
        <f t="shared" si="13"/>
        <v>98100</v>
      </c>
      <c r="M53" s="63">
        <f>M52</f>
        <v>274000</v>
      </c>
      <c r="N53" s="63">
        <f t="shared" si="15"/>
        <v>42000</v>
      </c>
      <c r="O53" s="63">
        <f t="shared" si="12"/>
        <v>75000</v>
      </c>
      <c r="P53" s="63">
        <f t="shared" si="14"/>
        <v>0</v>
      </c>
      <c r="Q53" s="63">
        <f t="shared" si="16"/>
        <v>33960.6</v>
      </c>
      <c r="R53" s="63">
        <f t="shared" si="17"/>
        <v>905616</v>
      </c>
    </row>
    <row r="54" spans="1:18" ht="18" thickBot="1">
      <c r="A54" s="98"/>
      <c r="B54" s="142"/>
      <c r="C54" s="143"/>
      <c r="D54" s="93"/>
      <c r="E54" s="106" t="s">
        <v>105</v>
      </c>
      <c r="F54" s="95">
        <f>$Q28-($A$50+$B$50-$A$26)</f>
        <v>214050000</v>
      </c>
      <c r="G54" s="104"/>
      <c r="H54" s="33"/>
      <c r="I54" s="33"/>
      <c r="J54" s="90"/>
      <c r="K54" s="90"/>
      <c r="L54" s="63">
        <f t="shared" si="13"/>
        <v>98100</v>
      </c>
      <c r="M54" s="63">
        <f>M53</f>
        <v>274000</v>
      </c>
      <c r="N54" s="63">
        <f t="shared" si="15"/>
        <v>40400</v>
      </c>
      <c r="O54" s="63">
        <f t="shared" si="12"/>
        <v>75000</v>
      </c>
      <c r="P54" s="63">
        <f t="shared" si="14"/>
        <v>0</v>
      </c>
      <c r="Q54" s="63">
        <f t="shared" si="16"/>
        <v>33960.6</v>
      </c>
      <c r="R54" s="63">
        <f t="shared" si="17"/>
        <v>905616</v>
      </c>
    </row>
    <row r="55" spans="1:18" ht="16.5">
      <c r="A55" s="107">
        <f>A50*A54</f>
        <v>0</v>
      </c>
      <c r="B55" s="93"/>
      <c r="C55" s="93"/>
      <c r="D55" s="93"/>
      <c r="E55" s="105" t="s">
        <v>106</v>
      </c>
      <c r="F55" s="95">
        <f>$F$54/27</f>
        <v>7927777.777777778</v>
      </c>
      <c r="G55" s="93"/>
      <c r="H55" s="62"/>
      <c r="I55" s="62"/>
      <c r="J55" s="90"/>
      <c r="K55" s="90"/>
      <c r="L55" s="63">
        <f t="shared" si="13"/>
        <v>98100</v>
      </c>
      <c r="M55" s="63">
        <f>ROUND(M54*0.96,-2)</f>
        <v>263000</v>
      </c>
      <c r="N55" s="63">
        <f t="shared" si="15"/>
        <v>38900</v>
      </c>
      <c r="O55" s="63">
        <f t="shared" si="12"/>
        <v>75000</v>
      </c>
      <c r="P55" s="63">
        <f t="shared" si="14"/>
        <v>0</v>
      </c>
      <c r="Q55" s="63">
        <f t="shared" si="16"/>
        <v>33960.6</v>
      </c>
      <c r="R55" s="63">
        <f t="shared" si="17"/>
        <v>905616</v>
      </c>
    </row>
    <row r="56" spans="1:18" ht="16.5">
      <c r="A56" s="93"/>
      <c r="B56" s="93"/>
      <c r="C56" s="93"/>
      <c r="D56" s="93"/>
      <c r="E56" s="105" t="s">
        <v>0</v>
      </c>
      <c r="F56" s="106" t="e">
        <f>$F$54/27/$F$53</f>
        <v>#DIV/0!</v>
      </c>
      <c r="G56" s="93"/>
      <c r="H56" s="62"/>
      <c r="I56" s="62"/>
      <c r="J56" s="90"/>
      <c r="K56" s="90"/>
      <c r="L56" s="63">
        <f t="shared" si="13"/>
        <v>98100</v>
      </c>
      <c r="M56" s="63">
        <f>M55</f>
        <v>263000</v>
      </c>
      <c r="N56" s="63">
        <f t="shared" si="15"/>
        <v>37500</v>
      </c>
      <c r="O56" s="63">
        <f t="shared" si="12"/>
        <v>0</v>
      </c>
      <c r="P56" s="63">
        <f t="shared" si="14"/>
        <v>0</v>
      </c>
      <c r="Q56" s="63">
        <f>L27*$E$30</f>
        <v>33960.6</v>
      </c>
      <c r="R56" s="63">
        <f>L27*$F$30</f>
        <v>905616</v>
      </c>
    </row>
    <row r="57" spans="1:18" ht="16.5">
      <c r="A57" s="93"/>
      <c r="B57" s="93"/>
      <c r="C57" s="93"/>
      <c r="D57" s="93"/>
      <c r="E57" s="93"/>
      <c r="F57" s="93"/>
      <c r="G57" s="93"/>
      <c r="H57" s="62"/>
      <c r="I57" s="62"/>
      <c r="J57" s="90"/>
      <c r="K57" s="90"/>
      <c r="L57" s="63">
        <f t="shared" si="13"/>
        <v>98100</v>
      </c>
      <c r="M57" s="63">
        <f>M56</f>
        <v>263000</v>
      </c>
      <c r="N57" s="63">
        <f t="shared" si="15"/>
        <v>36100</v>
      </c>
      <c r="O57" s="63">
        <f t="shared" si="12"/>
        <v>0</v>
      </c>
      <c r="P57" s="63">
        <f t="shared" si="14"/>
        <v>0</v>
      </c>
      <c r="Q57" s="63">
        <f>L28*$E$30</f>
        <v>33960.6</v>
      </c>
      <c r="R57" s="63">
        <f>L28*$F$30</f>
        <v>905616</v>
      </c>
    </row>
    <row r="58" spans="1:18" ht="16.5">
      <c r="A58" s="108"/>
      <c r="B58" s="108"/>
      <c r="C58" s="108"/>
      <c r="D58" s="108"/>
      <c r="E58" s="108"/>
      <c r="F58" s="108"/>
      <c r="G58" s="108"/>
      <c r="L58" s="162" t="s">
        <v>27</v>
      </c>
      <c r="M58" s="162"/>
      <c r="N58" s="162"/>
      <c r="O58" s="162"/>
      <c r="P58" s="162"/>
      <c r="Q58" s="162"/>
      <c r="R58" s="162"/>
    </row>
  </sheetData>
  <mergeCells count="33">
    <mergeCell ref="L58:R58"/>
    <mergeCell ref="A2:C2"/>
    <mergeCell ref="A14:C14"/>
    <mergeCell ref="A24:C24"/>
    <mergeCell ref="A48:C48"/>
    <mergeCell ref="B3:C3"/>
    <mergeCell ref="B15:C15"/>
    <mergeCell ref="E24:F24"/>
    <mergeCell ref="A28:D28"/>
    <mergeCell ref="E28:F28"/>
    <mergeCell ref="A32:C32"/>
    <mergeCell ref="B25:C25"/>
    <mergeCell ref="B26:C26"/>
    <mergeCell ref="B54:C54"/>
    <mergeCell ref="B29:C29"/>
    <mergeCell ref="A36:C36"/>
    <mergeCell ref="A40:C40"/>
    <mergeCell ref="A44:F44"/>
    <mergeCell ref="E52:F52"/>
    <mergeCell ref="A52:C52"/>
    <mergeCell ref="B46:C46"/>
    <mergeCell ref="B49:C49"/>
    <mergeCell ref="B50:C50"/>
    <mergeCell ref="B53:C53"/>
    <mergeCell ref="B38:C38"/>
    <mergeCell ref="B41:C41"/>
    <mergeCell ref="B42:C42"/>
    <mergeCell ref="B45:C45"/>
    <mergeCell ref="Q29:R29"/>
    <mergeCell ref="B30:C30"/>
    <mergeCell ref="B33:C33"/>
    <mergeCell ref="B37:C37"/>
    <mergeCell ref="L29:P29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720" verticalDpi="720" orientation="portrait" paperSize="9"/>
  <headerFooter alignWithMargins="0">
    <oddHeader>&amp;C&amp;14事業用物件購入シミュレーション&amp;R第7裕和ハイツ</oddHead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n-tokumitsu</dc:creator>
  <cp:keywords/>
  <dc:description/>
  <cp:lastModifiedBy>ET K</cp:lastModifiedBy>
  <cp:lastPrinted>2006-02-13T09:37:54Z</cp:lastPrinted>
  <dcterms:created xsi:type="dcterms:W3CDTF">2002-11-11T23:14:11Z</dcterms:created>
  <dcterms:modified xsi:type="dcterms:W3CDTF">2006-02-15T06:43:26Z</dcterms:modified>
  <cp:category/>
  <cp:version/>
  <cp:contentType/>
  <cp:contentStatus/>
</cp:coreProperties>
</file>